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FS USD (ua)" sheetId="1" r:id="rId1"/>
    <sheet name="ОСВ в работу" sheetId="2" r:id="rId2"/>
    <sheet name="ОСВ 2020" sheetId="12" r:id="rId3"/>
    <sheet name="отлож налоги " sheetId="13" r:id="rId4"/>
    <sheet name="Сводная ОА" sheetId="11" r:id="rId5"/>
    <sheet name="Опер ар_Сервис элит" sheetId="4" r:id="rId6"/>
    <sheet name="ОА Романовская" sheetId="5" r:id="rId7"/>
    <sheet name="ОА Голден клаб" sheetId="6" r:id="rId8"/>
    <sheet name="ОА Южмедбиосинтез" sheetId="7" r:id="rId9"/>
    <sheet name="ОА Лытюк" sheetId="8" r:id="rId10"/>
    <sheet name="OA Стецко" sheetId="9" r:id="rId11"/>
    <sheet name="Балабан" sheetId="10" r:id="rId12"/>
    <sheet name="АСС" sheetId="3" r:id="rId13"/>
  </sheets>
  <externalReferences>
    <externalReference r:id="rId14"/>
  </externalReferences>
  <definedNames>
    <definedName name="_xlnm._FilterDatabase" localSheetId="0" hidden="1">'FS USD (ua)'!$D$2:$D$1578</definedName>
    <definedName name="_xlnm.Print_Area" localSheetId="0">'FS USD (ua)'!$E$3:$AM$1614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17" i="1"/>
  <c r="AG1122"/>
  <c r="AG1119"/>
  <c r="AG1190"/>
  <c r="AG1182"/>
  <c r="AG1184"/>
  <c r="AG1192"/>
  <c r="AG1183"/>
  <c r="AG1138"/>
  <c r="AG1131"/>
  <c r="AG1121"/>
  <c r="AG1120"/>
  <c r="AG1118"/>
  <c r="AG1110"/>
  <c r="AG433"/>
  <c r="AG437"/>
  <c r="AG427"/>
  <c r="AA284"/>
  <c r="AA279"/>
  <c r="AA246"/>
  <c r="AA215"/>
  <c r="AG1422" l="1"/>
  <c r="AG1411"/>
  <c r="AG1410"/>
  <c r="AA1309"/>
  <c r="AA1306"/>
  <c r="AA1264"/>
  <c r="AA1254"/>
  <c r="AA1253"/>
  <c r="X1264"/>
  <c r="X1253" l="1"/>
  <c r="U1254"/>
  <c r="AG1139"/>
  <c r="AG449"/>
  <c r="AG455"/>
  <c r="U359"/>
  <c r="AA222"/>
  <c r="Y41" i="2"/>
  <c r="X83"/>
  <c r="AA286" i="1" s="1"/>
  <c r="AA293"/>
  <c r="AA290"/>
  <c r="AA288"/>
  <c r="AY12" i="13"/>
  <c r="AY15" s="1"/>
  <c r="AY14"/>
  <c r="AY13"/>
  <c r="AL13"/>
  <c r="AL12"/>
  <c r="AD67"/>
  <c r="AD66"/>
  <c r="AD64"/>
  <c r="AD61"/>
  <c r="AD56"/>
  <c r="AT52"/>
  <c r="AT48"/>
  <c r="AW43"/>
  <c r="B42"/>
  <c r="B69" s="1"/>
  <c r="BB34"/>
  <c r="AT34"/>
  <c r="AS34"/>
  <c r="BB33"/>
  <c r="BB32"/>
  <c r="AT32"/>
  <c r="AS32"/>
  <c r="BB31"/>
  <c r="AT31"/>
  <c r="AL31" s="1"/>
  <c r="AF31" s="1"/>
  <c r="AS31"/>
  <c r="Z31" s="1"/>
  <c r="BB30"/>
  <c r="AT30"/>
  <c r="AL30"/>
  <c r="AF30" s="1"/>
  <c r="BB29"/>
  <c r="BA29"/>
  <c r="AT29" s="1"/>
  <c r="AL29" s="1"/>
  <c r="AS29"/>
  <c r="Z29" s="1"/>
  <c r="Z36" s="1"/>
  <c r="BB28"/>
  <c r="AT28"/>
  <c r="AT43" s="1"/>
  <c r="AS28"/>
  <c r="AR28"/>
  <c r="Z28"/>
  <c r="AZ23"/>
  <c r="BA23" s="1"/>
  <c r="BA20"/>
  <c r="AU53" s="1"/>
  <c r="E19"/>
  <c r="D19"/>
  <c r="F19" s="1"/>
  <c r="C19"/>
  <c r="AT18"/>
  <c r="AS18"/>
  <c r="E18"/>
  <c r="D18"/>
  <c r="C18"/>
  <c r="F18" s="1"/>
  <c r="AS15"/>
  <c r="AL15" s="1"/>
  <c r="AF15" s="1"/>
  <c r="AS14"/>
  <c r="AL14" s="1"/>
  <c r="AF14" s="1"/>
  <c r="AS13"/>
  <c r="AT13"/>
  <c r="AU12"/>
  <c r="AS12" s="1"/>
  <c r="C9"/>
  <c r="D9" s="1"/>
  <c r="AF13" l="1"/>
  <c r="AL20"/>
  <c r="F21"/>
  <c r="Z20"/>
  <c r="AF12"/>
  <c r="AF29"/>
  <c r="AL28"/>
  <c r="AF20" l="1"/>
  <c r="AL36"/>
  <c r="AT39" s="1"/>
  <c r="AT40" s="1"/>
  <c r="AT41" s="1"/>
  <c r="AF28"/>
  <c r="AF36" s="1"/>
  <c r="X64" i="2"/>
  <c r="X61"/>
  <c r="X57"/>
  <c r="AA242" i="1" s="1"/>
  <c r="X50" i="2"/>
  <c r="X49"/>
  <c r="AA233" i="1" s="1"/>
  <c r="X87" i="2"/>
  <c r="R114"/>
  <c r="R113"/>
  <c r="T87"/>
  <c r="T84"/>
  <c r="T83"/>
  <c r="T80"/>
  <c r="X80" s="1"/>
  <c r="T75"/>
  <c r="I96" i="12"/>
  <c r="I77"/>
  <c r="I75"/>
  <c r="I73"/>
  <c r="I67"/>
  <c r="I63"/>
  <c r="I61"/>
  <c r="I59"/>
  <c r="I57"/>
  <c r="I54"/>
  <c r="I53"/>
  <c r="I51"/>
  <c r="I49"/>
  <c r="I41"/>
  <c r="I34"/>
  <c r="I32"/>
  <c r="I19"/>
  <c r="I18"/>
  <c r="I17"/>
  <c r="I15"/>
  <c r="I13"/>
  <c r="I12"/>
  <c r="I10"/>
  <c r="I9"/>
  <c r="T17" i="2"/>
  <c r="T19"/>
  <c r="X86"/>
  <c r="X85"/>
  <c r="X82"/>
  <c r="X81"/>
  <c r="X79"/>
  <c r="X78"/>
  <c r="X77"/>
  <c r="X76"/>
  <c r="X73"/>
  <c r="X71"/>
  <c r="X69"/>
  <c r="X67"/>
  <c r="X66"/>
  <c r="X65"/>
  <c r="X63"/>
  <c r="X62"/>
  <c r="X59"/>
  <c r="X58"/>
  <c r="X54"/>
  <c r="X52"/>
  <c r="X51"/>
  <c r="X48"/>
  <c r="X46"/>
  <c r="X44"/>
  <c r="X43"/>
  <c r="X39"/>
  <c r="X38"/>
  <c r="X36"/>
  <c r="X35"/>
  <c r="X34"/>
  <c r="X33"/>
  <c r="X32"/>
  <c r="X30"/>
  <c r="X28"/>
  <c r="X27"/>
  <c r="X26"/>
  <c r="X25"/>
  <c r="X24"/>
  <c r="X23"/>
  <c r="X22"/>
  <c r="X21"/>
  <c r="X17"/>
  <c r="X15"/>
  <c r="X14"/>
  <c r="X10"/>
  <c r="AG1123" i="1" l="1"/>
  <c r="AA280"/>
  <c r="X20" i="2"/>
  <c r="V57" l="1"/>
  <c r="U80"/>
  <c r="T11" i="11"/>
  <c r="R11"/>
  <c r="V87" i="2" s="1"/>
  <c r="L11" i="11"/>
  <c r="U19" i="2" s="1"/>
  <c r="X84"/>
  <c r="T72"/>
  <c r="X72" s="1"/>
  <c r="AA245" i="1" s="1"/>
  <c r="T70" i="2"/>
  <c r="X70" s="1"/>
  <c r="T68"/>
  <c r="X68" s="1"/>
  <c r="T60"/>
  <c r="T56"/>
  <c r="X56" s="1"/>
  <c r="AA241" i="1" s="1"/>
  <c r="T57" i="2"/>
  <c r="T55"/>
  <c r="T53"/>
  <c r="X53" s="1"/>
  <c r="AA238" i="1" s="1"/>
  <c r="T50" i="2"/>
  <c r="T49"/>
  <c r="T47"/>
  <c r="X47" s="1"/>
  <c r="T45"/>
  <c r="X45" s="1"/>
  <c r="T37"/>
  <c r="T31"/>
  <c r="X31" s="1"/>
  <c r="T29"/>
  <c r="X29" s="1"/>
  <c r="T18"/>
  <c r="X18" s="1"/>
  <c r="T16"/>
  <c r="X16" s="1"/>
  <c r="T13"/>
  <c r="X13" s="1"/>
  <c r="T12"/>
  <c r="X12" s="1"/>
  <c r="T11"/>
  <c r="X11" s="1"/>
  <c r="T9"/>
  <c r="X9" s="1"/>
  <c r="T8"/>
  <c r="X8" s="1"/>
  <c r="I4" i="12"/>
  <c r="I5" s="1"/>
  <c r="AJ244" i="1"/>
  <c r="AN1121"/>
  <c r="AG1185"/>
  <c r="AG293"/>
  <c r="AG234"/>
  <c r="F1301"/>
  <c r="E1505"/>
  <c r="E1504"/>
  <c r="E1502"/>
  <c r="E1443"/>
  <c r="E1442"/>
  <c r="E1440"/>
  <c r="E1088"/>
  <c r="E1087"/>
  <c r="E1085"/>
  <c r="E1018"/>
  <c r="E1017"/>
  <c r="E1015"/>
  <c r="E885"/>
  <c r="E884"/>
  <c r="E882"/>
  <c r="E828"/>
  <c r="E827"/>
  <c r="E825"/>
  <c r="E780"/>
  <c r="E779"/>
  <c r="E777"/>
  <c r="AK720"/>
  <c r="E664"/>
  <c r="E663"/>
  <c r="E661"/>
  <c r="E620"/>
  <c r="E619"/>
  <c r="E617"/>
  <c r="E545"/>
  <c r="E544"/>
  <c r="E542"/>
  <c r="X19" i="2" l="1"/>
  <c r="U89"/>
  <c r="Y8"/>
  <c r="W55"/>
  <c r="W89" s="1"/>
  <c r="W57"/>
  <c r="V89"/>
  <c r="Y29"/>
  <c r="AA223" i="1" s="1"/>
  <c r="AG457" s="1"/>
  <c r="Y61" i="2"/>
  <c r="AA244" i="1" s="1"/>
  <c r="T89" i="2"/>
  <c r="X75"/>
  <c r="AG1193" i="1"/>
  <c r="AG425"/>
  <c r="X55" i="2" l="1"/>
  <c r="AA236" i="1" s="1"/>
  <c r="AA239" s="1"/>
  <c r="Y19" i="2"/>
  <c r="AA216" i="1" s="1"/>
  <c r="X89" i="2" l="1"/>
  <c r="X91" s="1"/>
  <c r="AJ1556" i="1"/>
  <c r="AJ1550"/>
  <c r="C67" i="2"/>
  <c r="AA1412" i="1"/>
  <c r="AG1412" l="1"/>
  <c r="X1270"/>
  <c r="U1270"/>
  <c r="R1270"/>
  <c r="AA1251"/>
  <c r="R1254"/>
  <c r="AA1250"/>
  <c r="G2" i="2"/>
  <c r="AK204" i="1"/>
  <c r="AA1270" l="1"/>
  <c r="AA1266"/>
  <c r="AA1271" s="1"/>
  <c r="Z361" l="1"/>
  <c r="AJ355"/>
  <c r="AG290"/>
  <c r="AG280"/>
  <c r="AG246" l="1"/>
  <c r="AG239"/>
  <c r="AG286"/>
  <c r="AG288"/>
  <c r="AG247" l="1"/>
  <c r="J10" i="11"/>
  <c r="F34" s="1"/>
  <c r="C31" i="7"/>
  <c r="C35"/>
  <c r="C89" i="10" l="1"/>
  <c r="C47"/>
  <c r="C51" i="9"/>
  <c r="L21" i="8"/>
  <c r="C21"/>
  <c r="C66" i="6"/>
  <c r="C63"/>
  <c r="C49"/>
  <c r="C21"/>
  <c r="I5" i="11" s="1"/>
  <c r="J49" i="2" l="1"/>
  <c r="S49" s="1"/>
  <c r="D119"/>
  <c r="F9" i="11"/>
  <c r="F8"/>
  <c r="F7"/>
  <c r="F6"/>
  <c r="F5"/>
  <c r="F4"/>
  <c r="F3"/>
  <c r="D46" i="10" l="1"/>
  <c r="E46" s="1"/>
  <c r="C85"/>
  <c r="I9" i="11" s="1"/>
  <c r="F56" i="10"/>
  <c r="D84" s="1"/>
  <c r="E84" s="1"/>
  <c r="F55"/>
  <c r="G59" s="1"/>
  <c r="C33"/>
  <c r="I8" i="11" s="1"/>
  <c r="D30" i="10"/>
  <c r="E30" s="1"/>
  <c r="D22"/>
  <c r="E22" s="1"/>
  <c r="F4"/>
  <c r="D44" s="1"/>
  <c r="E44" s="1"/>
  <c r="F3"/>
  <c r="G7" s="1"/>
  <c r="C46" i="9"/>
  <c r="C32"/>
  <c r="C16"/>
  <c r="C15"/>
  <c r="F3"/>
  <c r="L27" i="8"/>
  <c r="O3"/>
  <c r="C27"/>
  <c r="F3"/>
  <c r="F4" s="1"/>
  <c r="D20" s="1"/>
  <c r="E20" s="1"/>
  <c r="F3" i="7"/>
  <c r="C35" i="6"/>
  <c r="F3"/>
  <c r="C33" i="5"/>
  <c r="I4" i="11" s="1"/>
  <c r="F3" i="5"/>
  <c r="G7" s="1"/>
  <c r="F3" i="4"/>
  <c r="C47"/>
  <c r="C33"/>
  <c r="I3" i="11" s="1"/>
  <c r="G7" i="4"/>
  <c r="K50" i="2"/>
  <c r="J50"/>
  <c r="S50" s="1"/>
  <c r="D106"/>
  <c r="D107" s="1"/>
  <c r="J84"/>
  <c r="S84" s="1"/>
  <c r="J83"/>
  <c r="S83" s="1"/>
  <c r="J80"/>
  <c r="J75"/>
  <c r="S75" s="1"/>
  <c r="J13"/>
  <c r="S13" s="1"/>
  <c r="J72"/>
  <c r="J70"/>
  <c r="S70" s="1"/>
  <c r="J68"/>
  <c r="S68" s="1"/>
  <c r="J60"/>
  <c r="S60" s="1"/>
  <c r="J53"/>
  <c r="S53" s="1"/>
  <c r="J47"/>
  <c r="S47" s="1"/>
  <c r="J45"/>
  <c r="S45" s="1"/>
  <c r="J37"/>
  <c r="S37" s="1"/>
  <c r="J31"/>
  <c r="S31" s="1"/>
  <c r="J29"/>
  <c r="S29" s="1"/>
  <c r="J18"/>
  <c r="S18" s="1"/>
  <c r="J17"/>
  <c r="J16"/>
  <c r="S16" s="1"/>
  <c r="J10"/>
  <c r="S10" s="1"/>
  <c r="J7"/>
  <c r="S7" s="1"/>
  <c r="J488" i="3"/>
  <c r="H488"/>
  <c r="F488"/>
  <c r="J487"/>
  <c r="H487"/>
  <c r="F487"/>
  <c r="J486"/>
  <c r="H486"/>
  <c r="F486"/>
  <c r="J485"/>
  <c r="H485"/>
  <c r="F485"/>
  <c r="J484"/>
  <c r="H484"/>
  <c r="F484"/>
  <c r="J483"/>
  <c r="H483"/>
  <c r="F483"/>
  <c r="J482"/>
  <c r="H482"/>
  <c r="F482"/>
  <c r="J481"/>
  <c r="H481"/>
  <c r="F481"/>
  <c r="J480"/>
  <c r="H480"/>
  <c r="F480"/>
  <c r="J479"/>
  <c r="H479"/>
  <c r="F479"/>
  <c r="J478"/>
  <c r="H478"/>
  <c r="F478"/>
  <c r="J477"/>
  <c r="H477"/>
  <c r="F477"/>
  <c r="J476"/>
  <c r="H476"/>
  <c r="F476"/>
  <c r="J475"/>
  <c r="H475"/>
  <c r="F475"/>
  <c r="J474"/>
  <c r="H474"/>
  <c r="F474"/>
  <c r="J473"/>
  <c r="H473"/>
  <c r="F473"/>
  <c r="J472"/>
  <c r="H472"/>
  <c r="F472"/>
  <c r="J471"/>
  <c r="H471"/>
  <c r="F471"/>
  <c r="J470"/>
  <c r="H470"/>
  <c r="F470"/>
  <c r="J469"/>
  <c r="H469"/>
  <c r="F469"/>
  <c r="J468"/>
  <c r="H468"/>
  <c r="F468"/>
  <c r="J467"/>
  <c r="H467"/>
  <c r="F467"/>
  <c r="J466"/>
  <c r="H466"/>
  <c r="F466"/>
  <c r="J465"/>
  <c r="H465"/>
  <c r="F465"/>
  <c r="J464"/>
  <c r="H464"/>
  <c r="F464"/>
  <c r="J463"/>
  <c r="H463"/>
  <c r="F463"/>
  <c r="J462"/>
  <c r="H462"/>
  <c r="F462"/>
  <c r="J461"/>
  <c r="H461"/>
  <c r="F461"/>
  <c r="J460"/>
  <c r="H460"/>
  <c r="F460"/>
  <c r="J459"/>
  <c r="H459"/>
  <c r="F459"/>
  <c r="J458"/>
  <c r="H458"/>
  <c r="F458"/>
  <c r="J457"/>
  <c r="H457"/>
  <c r="F457"/>
  <c r="J456"/>
  <c r="H456"/>
  <c r="F456"/>
  <c r="J455"/>
  <c r="H455"/>
  <c r="F455"/>
  <c r="J454"/>
  <c r="H454"/>
  <c r="F454"/>
  <c r="J453"/>
  <c r="H453"/>
  <c r="F453"/>
  <c r="J452"/>
  <c r="H452"/>
  <c r="F452"/>
  <c r="J451"/>
  <c r="H451"/>
  <c r="F451"/>
  <c r="J450"/>
  <c r="H450"/>
  <c r="F450"/>
  <c r="J449"/>
  <c r="H449"/>
  <c r="F449"/>
  <c r="J448"/>
  <c r="H448"/>
  <c r="F448"/>
  <c r="J447"/>
  <c r="H447"/>
  <c r="F447"/>
  <c r="J446"/>
  <c r="H446"/>
  <c r="F446"/>
  <c r="J445"/>
  <c r="H445"/>
  <c r="F445"/>
  <c r="J444"/>
  <c r="H444"/>
  <c r="F444"/>
  <c r="J443"/>
  <c r="H443"/>
  <c r="F443"/>
  <c r="J442"/>
  <c r="H442"/>
  <c r="F442"/>
  <c r="J441"/>
  <c r="H441"/>
  <c r="F441"/>
  <c r="J440"/>
  <c r="H440"/>
  <c r="F440"/>
  <c r="J439"/>
  <c r="H439"/>
  <c r="F439"/>
  <c r="J438"/>
  <c r="H438"/>
  <c r="F438"/>
  <c r="J437"/>
  <c r="H437"/>
  <c r="F437"/>
  <c r="J436"/>
  <c r="H436"/>
  <c r="F436"/>
  <c r="I84" i="2" s="1"/>
  <c r="J435" i="3"/>
  <c r="H435"/>
  <c r="F435"/>
  <c r="J434"/>
  <c r="H434"/>
  <c r="F434"/>
  <c r="J433"/>
  <c r="H433"/>
  <c r="F433"/>
  <c r="J432"/>
  <c r="H432"/>
  <c r="F432"/>
  <c r="J431"/>
  <c r="H431"/>
  <c r="F431"/>
  <c r="J430"/>
  <c r="H430"/>
  <c r="F430"/>
  <c r="J429"/>
  <c r="H429"/>
  <c r="F429"/>
  <c r="J428"/>
  <c r="H428"/>
  <c r="F428"/>
  <c r="J427"/>
  <c r="H427"/>
  <c r="F427"/>
  <c r="J426"/>
  <c r="H426"/>
  <c r="F426"/>
  <c r="J425"/>
  <c r="H425"/>
  <c r="F425"/>
  <c r="J424"/>
  <c r="H424"/>
  <c r="F424"/>
  <c r="J423"/>
  <c r="H423"/>
  <c r="F423"/>
  <c r="J422"/>
  <c r="H422"/>
  <c r="F422"/>
  <c r="J421"/>
  <c r="H421"/>
  <c r="F421"/>
  <c r="J420"/>
  <c r="H420"/>
  <c r="F420"/>
  <c r="J419"/>
  <c r="H419"/>
  <c r="F419"/>
  <c r="J418"/>
  <c r="H418"/>
  <c r="F418"/>
  <c r="J417"/>
  <c r="H417"/>
  <c r="F417"/>
  <c r="J416"/>
  <c r="H416"/>
  <c r="F416"/>
  <c r="J415"/>
  <c r="H415"/>
  <c r="F415"/>
  <c r="J414"/>
  <c r="H414"/>
  <c r="F414"/>
  <c r="J413"/>
  <c r="H413"/>
  <c r="F413"/>
  <c r="J412"/>
  <c r="H412"/>
  <c r="F412"/>
  <c r="J411"/>
  <c r="H411"/>
  <c r="F411"/>
  <c r="J410"/>
  <c r="H410"/>
  <c r="F410"/>
  <c r="J409"/>
  <c r="H409"/>
  <c r="F409"/>
  <c r="J408"/>
  <c r="H408"/>
  <c r="F408"/>
  <c r="I83" i="2" s="1"/>
  <c r="J407" i="3"/>
  <c r="H407"/>
  <c r="F407"/>
  <c r="J406"/>
  <c r="H406"/>
  <c r="F406"/>
  <c r="J405"/>
  <c r="H405"/>
  <c r="F405"/>
  <c r="J404"/>
  <c r="H404"/>
  <c r="F404"/>
  <c r="J403"/>
  <c r="H403"/>
  <c r="F403"/>
  <c r="J402"/>
  <c r="H402"/>
  <c r="F402"/>
  <c r="J401"/>
  <c r="H401"/>
  <c r="F401"/>
  <c r="J400"/>
  <c r="H400"/>
  <c r="F400"/>
  <c r="J399"/>
  <c r="H399"/>
  <c r="F399"/>
  <c r="J398"/>
  <c r="H398"/>
  <c r="F398"/>
  <c r="J397"/>
  <c r="H397"/>
  <c r="F397"/>
  <c r="J396"/>
  <c r="H396"/>
  <c r="F396"/>
  <c r="J395"/>
  <c r="H395"/>
  <c r="F395"/>
  <c r="J394"/>
  <c r="H394"/>
  <c r="F394"/>
  <c r="J393"/>
  <c r="H393"/>
  <c r="F393"/>
  <c r="J392"/>
  <c r="H392"/>
  <c r="F392"/>
  <c r="J391"/>
  <c r="H391"/>
  <c r="F391"/>
  <c r="J390"/>
  <c r="H390"/>
  <c r="F390"/>
  <c r="J389"/>
  <c r="H389"/>
  <c r="F389"/>
  <c r="J388"/>
  <c r="H388"/>
  <c r="F388"/>
  <c r="J387"/>
  <c r="H387"/>
  <c r="F387"/>
  <c r="J386"/>
  <c r="H386"/>
  <c r="F386"/>
  <c r="J385"/>
  <c r="H385"/>
  <c r="F385"/>
  <c r="J384"/>
  <c r="H384"/>
  <c r="F384"/>
  <c r="J383"/>
  <c r="H383"/>
  <c r="F383"/>
  <c r="J382"/>
  <c r="H382"/>
  <c r="F382"/>
  <c r="I80" i="2" s="1"/>
  <c r="J381" i="3"/>
  <c r="H381"/>
  <c r="F381"/>
  <c r="J380"/>
  <c r="H380"/>
  <c r="F380"/>
  <c r="J379"/>
  <c r="H379"/>
  <c r="F379"/>
  <c r="J378"/>
  <c r="H378"/>
  <c r="F378"/>
  <c r="J377"/>
  <c r="H377"/>
  <c r="F377"/>
  <c r="J376"/>
  <c r="H376"/>
  <c r="F376"/>
  <c r="J375"/>
  <c r="H375"/>
  <c r="F375"/>
  <c r="J374"/>
  <c r="H374"/>
  <c r="F374"/>
  <c r="J373"/>
  <c r="H373"/>
  <c r="F373"/>
  <c r="J372"/>
  <c r="H372"/>
  <c r="F372"/>
  <c r="J371"/>
  <c r="H371"/>
  <c r="F371"/>
  <c r="J370"/>
  <c r="H370"/>
  <c r="F370"/>
  <c r="J369"/>
  <c r="H369"/>
  <c r="F369"/>
  <c r="J368"/>
  <c r="H368"/>
  <c r="F368"/>
  <c r="J367"/>
  <c r="H367"/>
  <c r="F367"/>
  <c r="J366"/>
  <c r="H366"/>
  <c r="F366"/>
  <c r="J365"/>
  <c r="H365"/>
  <c r="F365"/>
  <c r="J364"/>
  <c r="H364"/>
  <c r="F364"/>
  <c r="J363"/>
  <c r="H363"/>
  <c r="F363"/>
  <c r="J362"/>
  <c r="H362"/>
  <c r="F362"/>
  <c r="J361"/>
  <c r="H361"/>
  <c r="F361"/>
  <c r="J360"/>
  <c r="H360"/>
  <c r="F360"/>
  <c r="J359"/>
  <c r="H359"/>
  <c r="F359"/>
  <c r="J358"/>
  <c r="H358"/>
  <c r="F358"/>
  <c r="J357"/>
  <c r="H357"/>
  <c r="F357"/>
  <c r="J356"/>
  <c r="H356"/>
  <c r="F356"/>
  <c r="J355"/>
  <c r="H355"/>
  <c r="F355"/>
  <c r="J354"/>
  <c r="H354"/>
  <c r="F354"/>
  <c r="J353"/>
  <c r="H353"/>
  <c r="F353"/>
  <c r="J352"/>
  <c r="H352"/>
  <c r="F352"/>
  <c r="J351"/>
  <c r="H351"/>
  <c r="F351"/>
  <c r="J350"/>
  <c r="H350"/>
  <c r="F350"/>
  <c r="J349"/>
  <c r="H349"/>
  <c r="F349"/>
  <c r="J348"/>
  <c r="H348"/>
  <c r="F348"/>
  <c r="J347"/>
  <c r="H347"/>
  <c r="F347"/>
  <c r="J346"/>
  <c r="H346"/>
  <c r="F346"/>
  <c r="J345"/>
  <c r="H345"/>
  <c r="F345"/>
  <c r="J344"/>
  <c r="H344"/>
  <c r="F344"/>
  <c r="J343"/>
  <c r="H343"/>
  <c r="F343"/>
  <c r="J342"/>
  <c r="H342"/>
  <c r="F342"/>
  <c r="J341"/>
  <c r="H341"/>
  <c r="F341"/>
  <c r="J340"/>
  <c r="H340"/>
  <c r="F340"/>
  <c r="J339"/>
  <c r="H339"/>
  <c r="F339"/>
  <c r="J338"/>
  <c r="H338"/>
  <c r="F338"/>
  <c r="J337"/>
  <c r="H337"/>
  <c r="F337"/>
  <c r="J336"/>
  <c r="H336"/>
  <c r="F336"/>
  <c r="J335"/>
  <c r="H335"/>
  <c r="F335"/>
  <c r="J334"/>
  <c r="H334"/>
  <c r="F334"/>
  <c r="J333"/>
  <c r="H333"/>
  <c r="F333"/>
  <c r="J332"/>
  <c r="H332"/>
  <c r="F332"/>
  <c r="J331"/>
  <c r="H331"/>
  <c r="F331"/>
  <c r="J330"/>
  <c r="H330"/>
  <c r="F330"/>
  <c r="J329"/>
  <c r="H329"/>
  <c r="F329"/>
  <c r="J328"/>
  <c r="H328"/>
  <c r="F328"/>
  <c r="J327"/>
  <c r="H327"/>
  <c r="F327"/>
  <c r="J326"/>
  <c r="H326"/>
  <c r="F326"/>
  <c r="J325"/>
  <c r="H325"/>
  <c r="F325"/>
  <c r="J324"/>
  <c r="H324"/>
  <c r="F324"/>
  <c r="J323"/>
  <c r="H323"/>
  <c r="F323"/>
  <c r="J322"/>
  <c r="H322"/>
  <c r="F322"/>
  <c r="J321"/>
  <c r="H321"/>
  <c r="F321"/>
  <c r="J320"/>
  <c r="H320"/>
  <c r="F320"/>
  <c r="J319"/>
  <c r="H319"/>
  <c r="F319"/>
  <c r="J318"/>
  <c r="H318"/>
  <c r="F318"/>
  <c r="J317"/>
  <c r="H317"/>
  <c r="F317"/>
  <c r="J316"/>
  <c r="H316"/>
  <c r="F316"/>
  <c r="I75" i="2" s="1"/>
  <c r="J315" i="3"/>
  <c r="H315"/>
  <c r="F315"/>
  <c r="J314"/>
  <c r="H314"/>
  <c r="F314"/>
  <c r="J313"/>
  <c r="H313"/>
  <c r="F313"/>
  <c r="J312"/>
  <c r="H312"/>
  <c r="F312"/>
  <c r="J311"/>
  <c r="H311"/>
  <c r="F311"/>
  <c r="J310"/>
  <c r="H310"/>
  <c r="F310"/>
  <c r="J309"/>
  <c r="H309"/>
  <c r="F309"/>
  <c r="J308"/>
  <c r="H308"/>
  <c r="F308"/>
  <c r="J307"/>
  <c r="H307"/>
  <c r="F307"/>
  <c r="J306"/>
  <c r="H306"/>
  <c r="F306"/>
  <c r="J305"/>
  <c r="H305"/>
  <c r="F305"/>
  <c r="J304"/>
  <c r="H304"/>
  <c r="F304"/>
  <c r="J303"/>
  <c r="H303"/>
  <c r="F303"/>
  <c r="J302"/>
  <c r="H302"/>
  <c r="F302"/>
  <c r="J301"/>
  <c r="H301"/>
  <c r="F301"/>
  <c r="J300"/>
  <c r="H300"/>
  <c r="F300"/>
  <c r="J299"/>
  <c r="H299"/>
  <c r="F299"/>
  <c r="I72" i="2" s="1"/>
  <c r="J298" i="3"/>
  <c r="H298"/>
  <c r="F298"/>
  <c r="J297"/>
  <c r="H297"/>
  <c r="F297"/>
  <c r="J296"/>
  <c r="H296"/>
  <c r="F296"/>
  <c r="J295"/>
  <c r="H295"/>
  <c r="F295"/>
  <c r="J294"/>
  <c r="H294"/>
  <c r="F294"/>
  <c r="J293"/>
  <c r="H293"/>
  <c r="F293"/>
  <c r="I70" i="2" s="1"/>
  <c r="J292" i="3"/>
  <c r="H292"/>
  <c r="F292"/>
  <c r="J291"/>
  <c r="H291"/>
  <c r="F291"/>
  <c r="J290"/>
  <c r="H290"/>
  <c r="F290"/>
  <c r="J289"/>
  <c r="H289"/>
  <c r="F289"/>
  <c r="J288"/>
  <c r="H288"/>
  <c r="F288"/>
  <c r="J287"/>
  <c r="H287"/>
  <c r="F287"/>
  <c r="J286"/>
  <c r="H286"/>
  <c r="F286"/>
  <c r="J285"/>
  <c r="H285"/>
  <c r="F285"/>
  <c r="J284"/>
  <c r="H284"/>
  <c r="F284"/>
  <c r="J283"/>
  <c r="H283"/>
  <c r="F283"/>
  <c r="J282"/>
  <c r="H282"/>
  <c r="F282"/>
  <c r="I68" i="2" s="1"/>
  <c r="J281" i="3"/>
  <c r="H281"/>
  <c r="F281"/>
  <c r="J280"/>
  <c r="H280"/>
  <c r="F280"/>
  <c r="J279"/>
  <c r="H279"/>
  <c r="F279"/>
  <c r="J278"/>
  <c r="H278"/>
  <c r="F278"/>
  <c r="J277"/>
  <c r="H277"/>
  <c r="F277"/>
  <c r="J276"/>
  <c r="H276"/>
  <c r="F276"/>
  <c r="J275"/>
  <c r="H275"/>
  <c r="F275"/>
  <c r="J274"/>
  <c r="H274"/>
  <c r="F274"/>
  <c r="J273"/>
  <c r="H273"/>
  <c r="F273"/>
  <c r="J272"/>
  <c r="H272"/>
  <c r="F272"/>
  <c r="J271"/>
  <c r="H271"/>
  <c r="F271"/>
  <c r="J270"/>
  <c r="H270"/>
  <c r="F270"/>
  <c r="J269"/>
  <c r="H269"/>
  <c r="F269"/>
  <c r="J268"/>
  <c r="H268"/>
  <c r="F268"/>
  <c r="J267"/>
  <c r="H267"/>
  <c r="F267"/>
  <c r="J266"/>
  <c r="H266"/>
  <c r="F266"/>
  <c r="J265"/>
  <c r="H265"/>
  <c r="F265"/>
  <c r="J264"/>
  <c r="H264"/>
  <c r="F264"/>
  <c r="J263"/>
  <c r="H263"/>
  <c r="F263"/>
  <c r="J262"/>
  <c r="H262"/>
  <c r="F262"/>
  <c r="J261"/>
  <c r="H261"/>
  <c r="F261"/>
  <c r="J260"/>
  <c r="H260"/>
  <c r="F260"/>
  <c r="J259"/>
  <c r="H259"/>
  <c r="F259"/>
  <c r="J258"/>
  <c r="H258"/>
  <c r="F258"/>
  <c r="J257"/>
  <c r="H257"/>
  <c r="F257"/>
  <c r="J256"/>
  <c r="H256"/>
  <c r="F256"/>
  <c r="J255"/>
  <c r="H255"/>
  <c r="F255"/>
  <c r="J254"/>
  <c r="H254"/>
  <c r="F254"/>
  <c r="J253"/>
  <c r="H253"/>
  <c r="F253"/>
  <c r="I60" i="2" s="1"/>
  <c r="J252" i="3"/>
  <c r="H252"/>
  <c r="F252"/>
  <c r="J251"/>
  <c r="H251"/>
  <c r="F251"/>
  <c r="J250"/>
  <c r="H250"/>
  <c r="F250"/>
  <c r="J249"/>
  <c r="H249"/>
  <c r="F249"/>
  <c r="J248"/>
  <c r="H248"/>
  <c r="F248"/>
  <c r="J247"/>
  <c r="H247"/>
  <c r="F247"/>
  <c r="J246"/>
  <c r="H246"/>
  <c r="F246"/>
  <c r="J245"/>
  <c r="H245"/>
  <c r="F245"/>
  <c r="J244"/>
  <c r="H244"/>
  <c r="F244"/>
  <c r="J243"/>
  <c r="H243"/>
  <c r="F243"/>
  <c r="J242"/>
  <c r="H242"/>
  <c r="F242"/>
  <c r="J241"/>
  <c r="H241"/>
  <c r="F241"/>
  <c r="J240"/>
  <c r="H240"/>
  <c r="F240"/>
  <c r="J239"/>
  <c r="H239"/>
  <c r="F239"/>
  <c r="J238"/>
  <c r="H238"/>
  <c r="F238"/>
  <c r="J237"/>
  <c r="H237"/>
  <c r="F237"/>
  <c r="J236"/>
  <c r="H236"/>
  <c r="F236"/>
  <c r="J235"/>
  <c r="H235"/>
  <c r="F235"/>
  <c r="J234"/>
  <c r="H234"/>
  <c r="F234"/>
  <c r="J233"/>
  <c r="H233"/>
  <c r="F233"/>
  <c r="J232"/>
  <c r="H232"/>
  <c r="F232"/>
  <c r="J231"/>
  <c r="H231"/>
  <c r="F231"/>
  <c r="J230"/>
  <c r="H230"/>
  <c r="F230"/>
  <c r="J229"/>
  <c r="H229"/>
  <c r="F229"/>
  <c r="J228"/>
  <c r="H228"/>
  <c r="F228"/>
  <c r="J227"/>
  <c r="H227"/>
  <c r="F227"/>
  <c r="J226"/>
  <c r="H226"/>
  <c r="F226"/>
  <c r="J225"/>
  <c r="H225"/>
  <c r="F225"/>
  <c r="J224"/>
  <c r="H224"/>
  <c r="F224"/>
  <c r="J223"/>
  <c r="H223"/>
  <c r="F223"/>
  <c r="J222"/>
  <c r="H222"/>
  <c r="F222"/>
  <c r="J221"/>
  <c r="H221"/>
  <c r="F221"/>
  <c r="J220"/>
  <c r="H220"/>
  <c r="F220"/>
  <c r="J219"/>
  <c r="H219"/>
  <c r="F219"/>
  <c r="J218"/>
  <c r="H218"/>
  <c r="F218"/>
  <c r="J217"/>
  <c r="H217"/>
  <c r="F217"/>
  <c r="J216"/>
  <c r="H216"/>
  <c r="F216"/>
  <c r="J215"/>
  <c r="H215"/>
  <c r="F215"/>
  <c r="J214"/>
  <c r="H214"/>
  <c r="F214"/>
  <c r="J213"/>
  <c r="H213"/>
  <c r="F213"/>
  <c r="J212"/>
  <c r="H212"/>
  <c r="F212"/>
  <c r="J211"/>
  <c r="H211"/>
  <c r="F211"/>
  <c r="J210"/>
  <c r="H210"/>
  <c r="F210"/>
  <c r="J209"/>
  <c r="H209"/>
  <c r="F209"/>
  <c r="J208"/>
  <c r="H208"/>
  <c r="F208"/>
  <c r="J207"/>
  <c r="H207"/>
  <c r="F207"/>
  <c r="J206"/>
  <c r="H206"/>
  <c r="F206"/>
  <c r="J205"/>
  <c r="H205"/>
  <c r="F205"/>
  <c r="J204"/>
  <c r="H204"/>
  <c r="F204"/>
  <c r="J203"/>
  <c r="H203"/>
  <c r="F203"/>
  <c r="J202"/>
  <c r="H202"/>
  <c r="F202"/>
  <c r="J201"/>
  <c r="H201"/>
  <c r="F201"/>
  <c r="J200"/>
  <c r="H200"/>
  <c r="F200"/>
  <c r="J199"/>
  <c r="H199"/>
  <c r="F199"/>
  <c r="J198"/>
  <c r="H198"/>
  <c r="F198"/>
  <c r="I53" i="2" s="1"/>
  <c r="J197" i="3"/>
  <c r="H197"/>
  <c r="F197"/>
  <c r="J196"/>
  <c r="H196"/>
  <c r="F196"/>
  <c r="J195"/>
  <c r="H195"/>
  <c r="F195"/>
  <c r="J194"/>
  <c r="H194"/>
  <c r="F194"/>
  <c r="J193"/>
  <c r="H193"/>
  <c r="F193"/>
  <c r="J192"/>
  <c r="H192"/>
  <c r="F192"/>
  <c r="J191"/>
  <c r="H191"/>
  <c r="F191"/>
  <c r="J190"/>
  <c r="H190"/>
  <c r="F190"/>
  <c r="I50" i="2" s="1"/>
  <c r="J189" i="3"/>
  <c r="H189"/>
  <c r="F189"/>
  <c r="I49" i="2" s="1"/>
  <c r="J188" i="3"/>
  <c r="H188"/>
  <c r="F188"/>
  <c r="J187"/>
  <c r="H187"/>
  <c r="F187"/>
  <c r="J186"/>
  <c r="H186"/>
  <c r="F186"/>
  <c r="J185"/>
  <c r="H185"/>
  <c r="F185"/>
  <c r="J184"/>
  <c r="H184"/>
  <c r="F184"/>
  <c r="J183"/>
  <c r="H183"/>
  <c r="F183"/>
  <c r="J182"/>
  <c r="H182"/>
  <c r="F182"/>
  <c r="J181"/>
  <c r="H181"/>
  <c r="F181"/>
  <c r="J180"/>
  <c r="H180"/>
  <c r="F180"/>
  <c r="J179"/>
  <c r="H179"/>
  <c r="F179"/>
  <c r="J178"/>
  <c r="H178"/>
  <c r="F178"/>
  <c r="J177"/>
  <c r="H177"/>
  <c r="F177"/>
  <c r="J176"/>
  <c r="H176"/>
  <c r="F176"/>
  <c r="J175"/>
  <c r="H175"/>
  <c r="F175"/>
  <c r="I47" i="2" s="1"/>
  <c r="J174" i="3"/>
  <c r="H174"/>
  <c r="F174"/>
  <c r="J173"/>
  <c r="H173"/>
  <c r="F173"/>
  <c r="J172"/>
  <c r="H172"/>
  <c r="F172"/>
  <c r="I45" i="2" s="1"/>
  <c r="J171" i="3"/>
  <c r="H171"/>
  <c r="F171"/>
  <c r="J170"/>
  <c r="H170"/>
  <c r="F170"/>
  <c r="J169"/>
  <c r="H169"/>
  <c r="F169"/>
  <c r="J168"/>
  <c r="H168"/>
  <c r="F168"/>
  <c r="J167"/>
  <c r="H167"/>
  <c r="F167"/>
  <c r="J166"/>
  <c r="H166"/>
  <c r="F166"/>
  <c r="J165"/>
  <c r="H165"/>
  <c r="F165"/>
  <c r="J164"/>
  <c r="H164"/>
  <c r="F164"/>
  <c r="J163"/>
  <c r="H163"/>
  <c r="F163"/>
  <c r="J162"/>
  <c r="H162"/>
  <c r="F162"/>
  <c r="J161"/>
  <c r="H161"/>
  <c r="F161"/>
  <c r="J160"/>
  <c r="H160"/>
  <c r="F160"/>
  <c r="J159"/>
  <c r="H159"/>
  <c r="F159"/>
  <c r="J158"/>
  <c r="H158"/>
  <c r="F158"/>
  <c r="J157"/>
  <c r="H157"/>
  <c r="F157"/>
  <c r="J156"/>
  <c r="H156"/>
  <c r="F156"/>
  <c r="J155"/>
  <c r="F155"/>
  <c r="J154"/>
  <c r="H154"/>
  <c r="F154"/>
  <c r="J153"/>
  <c r="H153"/>
  <c r="F153"/>
  <c r="J152"/>
  <c r="H152"/>
  <c r="F152"/>
  <c r="J151"/>
  <c r="H151"/>
  <c r="F151"/>
  <c r="J150"/>
  <c r="H150"/>
  <c r="F150"/>
  <c r="J149"/>
  <c r="H149"/>
  <c r="F149"/>
  <c r="J148"/>
  <c r="H148"/>
  <c r="F148"/>
  <c r="J147"/>
  <c r="H147"/>
  <c r="F147"/>
  <c r="J146"/>
  <c r="H146"/>
  <c r="F146"/>
  <c r="I37" i="2" s="1"/>
  <c r="J145" i="3"/>
  <c r="H145"/>
  <c r="F145"/>
  <c r="J144"/>
  <c r="H144"/>
  <c r="F144"/>
  <c r="J143"/>
  <c r="H143"/>
  <c r="F143"/>
  <c r="J142"/>
  <c r="H142"/>
  <c r="F142"/>
  <c r="J141"/>
  <c r="H141"/>
  <c r="F141"/>
  <c r="J140"/>
  <c r="H140"/>
  <c r="F140"/>
  <c r="J139"/>
  <c r="H139"/>
  <c r="F139"/>
  <c r="J138"/>
  <c r="H138"/>
  <c r="F138"/>
  <c r="J137"/>
  <c r="H137"/>
  <c r="F137"/>
  <c r="J136"/>
  <c r="H136"/>
  <c r="F136"/>
  <c r="J135"/>
  <c r="H135"/>
  <c r="F135"/>
  <c r="J134"/>
  <c r="H134"/>
  <c r="F134"/>
  <c r="J133"/>
  <c r="H133"/>
  <c r="F133"/>
  <c r="J132"/>
  <c r="H132"/>
  <c r="F132"/>
  <c r="J131"/>
  <c r="H131"/>
  <c r="F131"/>
  <c r="J130"/>
  <c r="H130"/>
  <c r="F130"/>
  <c r="J129"/>
  <c r="H129"/>
  <c r="F129"/>
  <c r="J128"/>
  <c r="H128"/>
  <c r="F128"/>
  <c r="J127"/>
  <c r="H127"/>
  <c r="F127"/>
  <c r="J126"/>
  <c r="H126"/>
  <c r="F126"/>
  <c r="J125"/>
  <c r="H125"/>
  <c r="F125"/>
  <c r="J124"/>
  <c r="H124"/>
  <c r="F124"/>
  <c r="J123"/>
  <c r="H123"/>
  <c r="F123"/>
  <c r="J122"/>
  <c r="H122"/>
  <c r="F122"/>
  <c r="J121"/>
  <c r="H121"/>
  <c r="F121"/>
  <c r="J120"/>
  <c r="H120"/>
  <c r="F120"/>
  <c r="J119"/>
  <c r="H119"/>
  <c r="F119"/>
  <c r="J118"/>
  <c r="H118"/>
  <c r="F118"/>
  <c r="J117"/>
  <c r="H117"/>
  <c r="F117"/>
  <c r="J116"/>
  <c r="H116"/>
  <c r="F116"/>
  <c r="J115"/>
  <c r="H115"/>
  <c r="F115"/>
  <c r="J114"/>
  <c r="H114"/>
  <c r="F114"/>
  <c r="J113"/>
  <c r="H113"/>
  <c r="F113"/>
  <c r="J112"/>
  <c r="H112"/>
  <c r="F112"/>
  <c r="J111"/>
  <c r="H111"/>
  <c r="F111"/>
  <c r="J110"/>
  <c r="H110"/>
  <c r="F110"/>
  <c r="J109"/>
  <c r="H109"/>
  <c r="F109"/>
  <c r="I31" i="2" s="1"/>
  <c r="J108" i="3"/>
  <c r="H108"/>
  <c r="F108"/>
  <c r="J107"/>
  <c r="H107"/>
  <c r="F107"/>
  <c r="J106"/>
  <c r="H106"/>
  <c r="F106"/>
  <c r="J105"/>
  <c r="H105"/>
  <c r="F105"/>
  <c r="J104"/>
  <c r="H104"/>
  <c r="F104"/>
  <c r="J103"/>
  <c r="H103"/>
  <c r="F103"/>
  <c r="I29" i="2" s="1"/>
  <c r="J102" i="3"/>
  <c r="H102"/>
  <c r="F102"/>
  <c r="J101"/>
  <c r="H101"/>
  <c r="F101"/>
  <c r="J100"/>
  <c r="H100"/>
  <c r="F100"/>
  <c r="J99"/>
  <c r="H99"/>
  <c r="F99"/>
  <c r="J98"/>
  <c r="H98"/>
  <c r="F98"/>
  <c r="J97"/>
  <c r="H97"/>
  <c r="F97"/>
  <c r="J96"/>
  <c r="H96"/>
  <c r="F96"/>
  <c r="J95"/>
  <c r="H95"/>
  <c r="F95"/>
  <c r="J94"/>
  <c r="H94"/>
  <c r="F94"/>
  <c r="J93"/>
  <c r="H93"/>
  <c r="F93"/>
  <c r="J92"/>
  <c r="H92"/>
  <c r="F92"/>
  <c r="J91"/>
  <c r="H91"/>
  <c r="F91"/>
  <c r="J90"/>
  <c r="H90"/>
  <c r="F90"/>
  <c r="J89"/>
  <c r="H89"/>
  <c r="F89"/>
  <c r="J88"/>
  <c r="H88"/>
  <c r="F88"/>
  <c r="J87"/>
  <c r="H87"/>
  <c r="F87"/>
  <c r="J86"/>
  <c r="H86"/>
  <c r="F86"/>
  <c r="J85"/>
  <c r="H85"/>
  <c r="F85"/>
  <c r="J84"/>
  <c r="H84"/>
  <c r="F84"/>
  <c r="J83"/>
  <c r="H83"/>
  <c r="F83"/>
  <c r="J82"/>
  <c r="H82"/>
  <c r="F82"/>
  <c r="J81"/>
  <c r="H81"/>
  <c r="F81"/>
  <c r="J80"/>
  <c r="H80"/>
  <c r="F80"/>
  <c r="J79"/>
  <c r="H79"/>
  <c r="F79"/>
  <c r="J78"/>
  <c r="H78"/>
  <c r="F78"/>
  <c r="J77"/>
  <c r="H77"/>
  <c r="F77"/>
  <c r="J76"/>
  <c r="H76"/>
  <c r="F76"/>
  <c r="J75"/>
  <c r="H75"/>
  <c r="F75"/>
  <c r="J74"/>
  <c r="H74"/>
  <c r="F74"/>
  <c r="J73"/>
  <c r="H73"/>
  <c r="F73"/>
  <c r="J72"/>
  <c r="H72"/>
  <c r="F72"/>
  <c r="J71"/>
  <c r="H71"/>
  <c r="F71"/>
  <c r="J70"/>
  <c r="H70"/>
  <c r="F70"/>
  <c r="J69"/>
  <c r="H69"/>
  <c r="F69"/>
  <c r="J68"/>
  <c r="H68"/>
  <c r="F68"/>
  <c r="J67"/>
  <c r="H67"/>
  <c r="F67"/>
  <c r="J66"/>
  <c r="H66"/>
  <c r="F66"/>
  <c r="J65"/>
  <c r="H65"/>
  <c r="F65"/>
  <c r="J64"/>
  <c r="H64"/>
  <c r="F64"/>
  <c r="J63"/>
  <c r="H63"/>
  <c r="F63"/>
  <c r="J62"/>
  <c r="H62"/>
  <c r="F62"/>
  <c r="J61"/>
  <c r="H61"/>
  <c r="F61"/>
  <c r="J60"/>
  <c r="H60"/>
  <c r="F60"/>
  <c r="J59"/>
  <c r="H59"/>
  <c r="F59"/>
  <c r="J58"/>
  <c r="H58"/>
  <c r="F58"/>
  <c r="J57"/>
  <c r="H57"/>
  <c r="F57"/>
  <c r="J56"/>
  <c r="H56"/>
  <c r="F56"/>
  <c r="J55"/>
  <c r="H55"/>
  <c r="F55"/>
  <c r="J54"/>
  <c r="H54"/>
  <c r="F54"/>
  <c r="J53"/>
  <c r="H53"/>
  <c r="F53"/>
  <c r="J52"/>
  <c r="H52"/>
  <c r="F52"/>
  <c r="J51"/>
  <c r="H51"/>
  <c r="F51"/>
  <c r="F50"/>
  <c r="J49"/>
  <c r="H49"/>
  <c r="F49"/>
  <c r="J48"/>
  <c r="H48"/>
  <c r="F48"/>
  <c r="J47"/>
  <c r="H47"/>
  <c r="F47"/>
  <c r="J46"/>
  <c r="H46"/>
  <c r="F46"/>
  <c r="J45"/>
  <c r="H45"/>
  <c r="F45"/>
  <c r="J44"/>
  <c r="H44"/>
  <c r="F44"/>
  <c r="J43"/>
  <c r="H43"/>
  <c r="F43"/>
  <c r="J42"/>
  <c r="H42"/>
  <c r="F42"/>
  <c r="I18" i="2" s="1"/>
  <c r="J41" i="3"/>
  <c r="H41"/>
  <c r="F41"/>
  <c r="I17" i="2" s="1"/>
  <c r="J40" i="3"/>
  <c r="H40"/>
  <c r="F40"/>
  <c r="J39"/>
  <c r="H39"/>
  <c r="F39"/>
  <c r="J38"/>
  <c r="H38"/>
  <c r="F38"/>
  <c r="J37"/>
  <c r="H37"/>
  <c r="F37"/>
  <c r="J36"/>
  <c r="H36"/>
  <c r="F36"/>
  <c r="J35"/>
  <c r="H35"/>
  <c r="F35"/>
  <c r="J34"/>
  <c r="H34"/>
  <c r="F34"/>
  <c r="J33"/>
  <c r="H33"/>
  <c r="F33"/>
  <c r="J32"/>
  <c r="H32"/>
  <c r="F32"/>
  <c r="I16" i="2" s="1"/>
  <c r="J31" i="3"/>
  <c r="H31"/>
  <c r="F31"/>
  <c r="J30"/>
  <c r="H30"/>
  <c r="F30"/>
  <c r="J29"/>
  <c r="H29"/>
  <c r="F29"/>
  <c r="J28"/>
  <c r="H28"/>
  <c r="F28"/>
  <c r="J27"/>
  <c r="H27"/>
  <c r="F27"/>
  <c r="J26"/>
  <c r="H26"/>
  <c r="F26"/>
  <c r="J25"/>
  <c r="H25"/>
  <c r="F25"/>
  <c r="J24"/>
  <c r="H24"/>
  <c r="F24"/>
  <c r="J23"/>
  <c r="H23"/>
  <c r="F23"/>
  <c r="I13" i="2" s="1"/>
  <c r="J22" i="3"/>
  <c r="H22"/>
  <c r="F22"/>
  <c r="I12" i="2" s="1"/>
  <c r="J21" i="3"/>
  <c r="H21"/>
  <c r="F21"/>
  <c r="J20"/>
  <c r="H20"/>
  <c r="F20"/>
  <c r="J19"/>
  <c r="H19"/>
  <c r="F19"/>
  <c r="J18"/>
  <c r="H18"/>
  <c r="F18"/>
  <c r="J17"/>
  <c r="H17"/>
  <c r="F17"/>
  <c r="J16"/>
  <c r="H16"/>
  <c r="F16"/>
  <c r="J15"/>
  <c r="H15"/>
  <c r="F15"/>
  <c r="I10" i="2" s="1"/>
  <c r="J14" i="3"/>
  <c r="H14"/>
  <c r="F14"/>
  <c r="J13"/>
  <c r="H13"/>
  <c r="F13"/>
  <c r="J12"/>
  <c r="H12"/>
  <c r="F12"/>
  <c r="J11"/>
  <c r="H11"/>
  <c r="F11"/>
  <c r="J10"/>
  <c r="H10"/>
  <c r="F10"/>
  <c r="J9"/>
  <c r="H9"/>
  <c r="F9"/>
  <c r="J8"/>
  <c r="H8"/>
  <c r="F8"/>
  <c r="J7"/>
  <c r="H7"/>
  <c r="F7"/>
  <c r="J6"/>
  <c r="H6"/>
  <c r="F6"/>
  <c r="J5"/>
  <c r="J4"/>
  <c r="H4"/>
  <c r="F4"/>
  <c r="I7" i="2" s="1"/>
  <c r="K9" i="11" l="1"/>
  <c r="L63" i="10"/>
  <c r="M63" s="1"/>
  <c r="L62"/>
  <c r="M62" s="1"/>
  <c r="L10"/>
  <c r="M10" s="1"/>
  <c r="L8" i="11" s="1"/>
  <c r="K8"/>
  <c r="F4" i="6"/>
  <c r="G7"/>
  <c r="D28" i="10"/>
  <c r="E28" s="1"/>
  <c r="D45"/>
  <c r="E45" s="1"/>
  <c r="L12" i="4"/>
  <c r="M12" s="1"/>
  <c r="K3" i="11"/>
  <c r="K4"/>
  <c r="G7" i="7"/>
  <c r="D19" i="8"/>
  <c r="E19" s="1"/>
  <c r="D17" i="9"/>
  <c r="E17" s="1"/>
  <c r="G7"/>
  <c r="D24" i="10"/>
  <c r="E24" s="1"/>
  <c r="D32"/>
  <c r="E32" s="1"/>
  <c r="D87"/>
  <c r="F4" i="7"/>
  <c r="D34" s="1"/>
  <c r="E34" s="1"/>
  <c r="D15" i="9"/>
  <c r="D26" i="10"/>
  <c r="E26" s="1"/>
  <c r="D88"/>
  <c r="E88" s="1"/>
  <c r="C18" i="9"/>
  <c r="F4"/>
  <c r="J89" i="2"/>
  <c r="S17"/>
  <c r="N62" i="10"/>
  <c r="N63" s="1"/>
  <c r="O63" s="1"/>
  <c r="D35"/>
  <c r="D37"/>
  <c r="E37" s="1"/>
  <c r="D39"/>
  <c r="E39" s="1"/>
  <c r="D41"/>
  <c r="E41" s="1"/>
  <c r="D43"/>
  <c r="E43" s="1"/>
  <c r="D73"/>
  <c r="D75"/>
  <c r="E75" s="1"/>
  <c r="D77"/>
  <c r="E77" s="1"/>
  <c r="D79"/>
  <c r="E79" s="1"/>
  <c r="D81"/>
  <c r="E81" s="1"/>
  <c r="D83"/>
  <c r="E83" s="1"/>
  <c r="L11"/>
  <c r="M11" s="1"/>
  <c r="D21"/>
  <c r="D23"/>
  <c r="E23" s="1"/>
  <c r="D25"/>
  <c r="E25" s="1"/>
  <c r="D27"/>
  <c r="E27" s="1"/>
  <c r="D29"/>
  <c r="E29" s="1"/>
  <c r="D31"/>
  <c r="E31" s="1"/>
  <c r="D36"/>
  <c r="E36" s="1"/>
  <c r="D38"/>
  <c r="E38" s="1"/>
  <c r="D40"/>
  <c r="E40" s="1"/>
  <c r="D42"/>
  <c r="E42" s="1"/>
  <c r="D74"/>
  <c r="E74" s="1"/>
  <c r="D76"/>
  <c r="E76" s="1"/>
  <c r="D78"/>
  <c r="E78" s="1"/>
  <c r="D80"/>
  <c r="E80" s="1"/>
  <c r="D82"/>
  <c r="E82" s="1"/>
  <c r="E15" i="9"/>
  <c r="P7" i="8"/>
  <c r="O4"/>
  <c r="G7"/>
  <c r="D26"/>
  <c r="E26" s="1"/>
  <c r="D24"/>
  <c r="E24" s="1"/>
  <c r="D18"/>
  <c r="E18" s="1"/>
  <c r="D13"/>
  <c r="E13" s="1"/>
  <c r="D25"/>
  <c r="E25" s="1"/>
  <c r="D23"/>
  <c r="D17"/>
  <c r="E17" s="1"/>
  <c r="D15"/>
  <c r="E15" s="1"/>
  <c r="D11"/>
  <c r="E11" s="1"/>
  <c r="D12"/>
  <c r="E12" s="1"/>
  <c r="D16"/>
  <c r="E16" s="1"/>
  <c r="D10"/>
  <c r="E10" s="1"/>
  <c r="D14"/>
  <c r="E14" s="1"/>
  <c r="D9"/>
  <c r="D21" i="7"/>
  <c r="D23"/>
  <c r="E23" s="1"/>
  <c r="D29"/>
  <c r="E29" s="1"/>
  <c r="D33"/>
  <c r="D26"/>
  <c r="E26" s="1"/>
  <c r="D28"/>
  <c r="E28" s="1"/>
  <c r="L11" i="5"/>
  <c r="M11" s="1"/>
  <c r="L10"/>
  <c r="M10" s="1"/>
  <c r="L4" i="11" s="1"/>
  <c r="F4" i="5"/>
  <c r="D36" s="1"/>
  <c r="E36" s="1"/>
  <c r="D24"/>
  <c r="E24" s="1"/>
  <c r="D37"/>
  <c r="E37" s="1"/>
  <c r="D38"/>
  <c r="E38" s="1"/>
  <c r="D31"/>
  <c r="E31" s="1"/>
  <c r="F4" i="4"/>
  <c r="L10"/>
  <c r="M10" s="1"/>
  <c r="L3" i="11" s="1"/>
  <c r="L11" i="4"/>
  <c r="M4" i="11" l="1"/>
  <c r="E87" i="10"/>
  <c r="E89" s="1"/>
  <c r="D89"/>
  <c r="T9" i="11" s="1"/>
  <c r="L9"/>
  <c r="M9" s="1"/>
  <c r="M65" i="10"/>
  <c r="D27" i="5"/>
  <c r="E27" s="1"/>
  <c r="D45"/>
  <c r="E45" s="1"/>
  <c r="D32"/>
  <c r="E32" s="1"/>
  <c r="D22"/>
  <c r="E22" s="1"/>
  <c r="D25"/>
  <c r="E25" s="1"/>
  <c r="D41"/>
  <c r="E41" s="1"/>
  <c r="D30"/>
  <c r="E30" s="1"/>
  <c r="D44"/>
  <c r="E44" s="1"/>
  <c r="D24" i="7"/>
  <c r="E24" s="1"/>
  <c r="D27"/>
  <c r="E27" s="1"/>
  <c r="E9" i="8"/>
  <c r="E21" s="1"/>
  <c r="D21"/>
  <c r="L11" i="7"/>
  <c r="M11" s="1"/>
  <c r="L10"/>
  <c r="M3" i="11"/>
  <c r="M8"/>
  <c r="D37" i="8"/>
  <c r="E37" s="1"/>
  <c r="F21"/>
  <c r="F27" s="1"/>
  <c r="D36"/>
  <c r="D65" i="6"/>
  <c r="D59"/>
  <c r="E59" s="1"/>
  <c r="D55"/>
  <c r="E55" s="1"/>
  <c r="D51"/>
  <c r="D45"/>
  <c r="E45" s="1"/>
  <c r="D41"/>
  <c r="E41" s="1"/>
  <c r="D37"/>
  <c r="D31"/>
  <c r="E31" s="1"/>
  <c r="D27"/>
  <c r="E27" s="1"/>
  <c r="D23"/>
  <c r="D56"/>
  <c r="E56" s="1"/>
  <c r="D42"/>
  <c r="E42" s="1"/>
  <c r="D32"/>
  <c r="E32" s="1"/>
  <c r="D62"/>
  <c r="E62" s="1"/>
  <c r="D58"/>
  <c r="E58" s="1"/>
  <c r="D54"/>
  <c r="E54" s="1"/>
  <c r="D48"/>
  <c r="E48" s="1"/>
  <c r="D44"/>
  <c r="E44" s="1"/>
  <c r="D40"/>
  <c r="E40" s="1"/>
  <c r="D34"/>
  <c r="E34" s="1"/>
  <c r="D30"/>
  <c r="E30" s="1"/>
  <c r="D26"/>
  <c r="E26" s="1"/>
  <c r="D20"/>
  <c r="E20" s="1"/>
  <c r="D60"/>
  <c r="E60" s="1"/>
  <c r="D46"/>
  <c r="E46" s="1"/>
  <c r="D28"/>
  <c r="E28" s="1"/>
  <c r="D18"/>
  <c r="D61"/>
  <c r="E61" s="1"/>
  <c r="D57"/>
  <c r="E57" s="1"/>
  <c r="D53"/>
  <c r="E53" s="1"/>
  <c r="D47"/>
  <c r="E47" s="1"/>
  <c r="D43"/>
  <c r="E43" s="1"/>
  <c r="D39"/>
  <c r="E39" s="1"/>
  <c r="D33"/>
  <c r="E33" s="1"/>
  <c r="D29"/>
  <c r="E29" s="1"/>
  <c r="D25"/>
  <c r="E25" s="1"/>
  <c r="D19"/>
  <c r="E19" s="1"/>
  <c r="D52"/>
  <c r="E52" s="1"/>
  <c r="D38"/>
  <c r="E38" s="1"/>
  <c r="D24"/>
  <c r="E24" s="1"/>
  <c r="D23" i="5"/>
  <c r="E23" s="1"/>
  <c r="D39"/>
  <c r="E39" s="1"/>
  <c r="D28"/>
  <c r="E28" s="1"/>
  <c r="D30" i="7"/>
  <c r="E30" s="1"/>
  <c r="D22"/>
  <c r="E22" s="1"/>
  <c r="D25"/>
  <c r="E25" s="1"/>
  <c r="D47" i="10"/>
  <c r="T8" i="11" s="1"/>
  <c r="K6"/>
  <c r="L13" i="6"/>
  <c r="L12"/>
  <c r="L10"/>
  <c r="M10" s="1"/>
  <c r="K5" i="11"/>
  <c r="L14" i="6"/>
  <c r="M14" s="1"/>
  <c r="L11"/>
  <c r="M11" s="1"/>
  <c r="M12" s="1"/>
  <c r="M13" s="1"/>
  <c r="K7" i="11"/>
  <c r="L13" i="9"/>
  <c r="M13" s="1"/>
  <c r="L11"/>
  <c r="L12"/>
  <c r="I7" i="11"/>
  <c r="L10" i="9"/>
  <c r="M10" s="1"/>
  <c r="D50"/>
  <c r="E50" s="1"/>
  <c r="D45"/>
  <c r="E45" s="1"/>
  <c r="D41"/>
  <c r="E41" s="1"/>
  <c r="D37"/>
  <c r="E37" s="1"/>
  <c r="D31"/>
  <c r="E31" s="1"/>
  <c r="D27"/>
  <c r="E27" s="1"/>
  <c r="D23"/>
  <c r="E23" s="1"/>
  <c r="D49"/>
  <c r="E49" s="1"/>
  <c r="D38"/>
  <c r="E38" s="1"/>
  <c r="D28"/>
  <c r="E28" s="1"/>
  <c r="D20"/>
  <c r="E20" s="1"/>
  <c r="D44"/>
  <c r="E44" s="1"/>
  <c r="D40"/>
  <c r="E40" s="1"/>
  <c r="D36"/>
  <c r="E36" s="1"/>
  <c r="D30"/>
  <c r="E30" s="1"/>
  <c r="D26"/>
  <c r="E26" s="1"/>
  <c r="D22"/>
  <c r="E22" s="1"/>
  <c r="D24"/>
  <c r="E24" s="1"/>
  <c r="D43"/>
  <c r="E43" s="1"/>
  <c r="D39"/>
  <c r="E39" s="1"/>
  <c r="D35"/>
  <c r="E35" s="1"/>
  <c r="D29"/>
  <c r="E29" s="1"/>
  <c r="D25"/>
  <c r="E25" s="1"/>
  <c r="D21"/>
  <c r="E21" s="1"/>
  <c r="D42"/>
  <c r="E42" s="1"/>
  <c r="D34"/>
  <c r="E34" s="1"/>
  <c r="D16"/>
  <c r="E16" s="1"/>
  <c r="E18" s="1"/>
  <c r="L37" i="8"/>
  <c r="M37" s="1"/>
  <c r="L36"/>
  <c r="M36" s="1"/>
  <c r="E33" i="7"/>
  <c r="E35" s="1"/>
  <c r="D35"/>
  <c r="T6" i="11" s="1"/>
  <c r="L5"/>
  <c r="N10" i="6"/>
  <c r="O62" i="10"/>
  <c r="N9" i="11" s="1"/>
  <c r="N10" i="10"/>
  <c r="D33"/>
  <c r="E21"/>
  <c r="E33" s="1"/>
  <c r="R8" i="11" s="1"/>
  <c r="M13" i="10"/>
  <c r="D85"/>
  <c r="E73"/>
  <c r="E85" s="1"/>
  <c r="R9" i="11" s="1"/>
  <c r="E35" i="10"/>
  <c r="E47" s="1"/>
  <c r="N10" i="9"/>
  <c r="M19" i="8"/>
  <c r="N19" s="1"/>
  <c r="M17"/>
  <c r="N17" s="1"/>
  <c r="M15"/>
  <c r="N15" s="1"/>
  <c r="M13"/>
  <c r="N13" s="1"/>
  <c r="M14"/>
  <c r="N14" s="1"/>
  <c r="M12"/>
  <c r="N12" s="1"/>
  <c r="M24"/>
  <c r="N24" s="1"/>
  <c r="M20"/>
  <c r="N20" s="1"/>
  <c r="M18"/>
  <c r="N18" s="1"/>
  <c r="M16"/>
  <c r="N16" s="1"/>
  <c r="M25"/>
  <c r="N25" s="1"/>
  <c r="M23"/>
  <c r="D27"/>
  <c r="E23"/>
  <c r="E27" s="1"/>
  <c r="E21" i="7"/>
  <c r="D35" i="6"/>
  <c r="T5" i="11" s="1"/>
  <c r="E23" i="6"/>
  <c r="D40" i="5"/>
  <c r="E40" s="1"/>
  <c r="D29"/>
  <c r="E29" s="1"/>
  <c r="D21"/>
  <c r="E21" s="1"/>
  <c r="D43"/>
  <c r="E43" s="1"/>
  <c r="D35"/>
  <c r="D26"/>
  <c r="E26" s="1"/>
  <c r="D42"/>
  <c r="E42" s="1"/>
  <c r="N10"/>
  <c r="M13"/>
  <c r="D50" i="4"/>
  <c r="D46"/>
  <c r="E46" s="1"/>
  <c r="D42"/>
  <c r="E42" s="1"/>
  <c r="D38"/>
  <c r="E38" s="1"/>
  <c r="D29"/>
  <c r="E29" s="1"/>
  <c r="D25"/>
  <c r="E25" s="1"/>
  <c r="D21"/>
  <c r="D45"/>
  <c r="E45" s="1"/>
  <c r="D41"/>
  <c r="E41" s="1"/>
  <c r="D37"/>
  <c r="E37" s="1"/>
  <c r="D32"/>
  <c r="E32" s="1"/>
  <c r="D28"/>
  <c r="E28" s="1"/>
  <c r="D24"/>
  <c r="E24" s="1"/>
  <c r="D44"/>
  <c r="E44" s="1"/>
  <c r="D40"/>
  <c r="E40" s="1"/>
  <c r="D36"/>
  <c r="E36" s="1"/>
  <c r="D31"/>
  <c r="E31" s="1"/>
  <c r="D27"/>
  <c r="E27" s="1"/>
  <c r="D23"/>
  <c r="E23" s="1"/>
  <c r="D51"/>
  <c r="E51" s="1"/>
  <c r="D43"/>
  <c r="E43" s="1"/>
  <c r="D39"/>
  <c r="E39" s="1"/>
  <c r="D35"/>
  <c r="D30"/>
  <c r="E30" s="1"/>
  <c r="D26"/>
  <c r="E26" s="1"/>
  <c r="D22"/>
  <c r="E22" s="1"/>
  <c r="E35" i="6" l="1"/>
  <c r="G85" i="10"/>
  <c r="P9" i="11"/>
  <c r="Q9" s="1"/>
  <c r="D91" i="10"/>
  <c r="O9" i="11" s="1"/>
  <c r="F85" i="10"/>
  <c r="M11" i="9"/>
  <c r="N11" s="1"/>
  <c r="E51" i="6"/>
  <c r="E63" s="1"/>
  <c r="D63"/>
  <c r="E36" i="8"/>
  <c r="G21"/>
  <c r="D29"/>
  <c r="D21" i="6"/>
  <c r="E18"/>
  <c r="E21" s="1"/>
  <c r="R5" i="11" s="1"/>
  <c r="E31" i="7"/>
  <c r="R6" i="11" s="1"/>
  <c r="E37" i="6"/>
  <c r="E49" s="1"/>
  <c r="D49"/>
  <c r="M10" i="7"/>
  <c r="E35" i="5"/>
  <c r="E46" s="1"/>
  <c r="D46"/>
  <c r="T4" i="11" s="1"/>
  <c r="P8"/>
  <c r="Q8" s="1"/>
  <c r="F33" i="10"/>
  <c r="D31" i="7"/>
  <c r="G31" s="1"/>
  <c r="S6" i="11" s="1"/>
  <c r="D66" i="6"/>
  <c r="E65"/>
  <c r="E51" i="9"/>
  <c r="D51"/>
  <c r="E46"/>
  <c r="E32"/>
  <c r="D32"/>
  <c r="R7" i="11"/>
  <c r="L7"/>
  <c r="M7" s="1"/>
  <c r="D18" i="9"/>
  <c r="D46"/>
  <c r="N21" i="8"/>
  <c r="K10" i="11"/>
  <c r="N11" i="6"/>
  <c r="O10"/>
  <c r="N5" i="11" s="1"/>
  <c r="M5"/>
  <c r="D68" i="6"/>
  <c r="O5" i="11" s="1"/>
  <c r="D49" i="10"/>
  <c r="O8" i="11" s="1"/>
  <c r="N11" i="10"/>
  <c r="O11" s="1"/>
  <c r="O10"/>
  <c r="N8" i="11" s="1"/>
  <c r="O10" i="9"/>
  <c r="M21" i="8"/>
  <c r="M27"/>
  <c r="N23"/>
  <c r="N27" s="1"/>
  <c r="D33" i="5"/>
  <c r="E33"/>
  <c r="R4" i="11" s="1"/>
  <c r="N11" i="5"/>
  <c r="O10"/>
  <c r="N4" i="11" s="1"/>
  <c r="D47" i="4"/>
  <c r="T3" i="11" s="1"/>
  <c r="E35" i="4"/>
  <c r="E47" s="1"/>
  <c r="E50"/>
  <c r="E52" s="1"/>
  <c r="D52"/>
  <c r="E21"/>
  <c r="E33" s="1"/>
  <c r="R3" i="11" s="1"/>
  <c r="D33" i="4"/>
  <c r="N10"/>
  <c r="M11"/>
  <c r="M13" s="1"/>
  <c r="F16" i="11" l="1"/>
  <c r="L12" i="2" s="1"/>
  <c r="S12" s="1"/>
  <c r="M11" i="11"/>
  <c r="P3"/>
  <c r="G33" i="4"/>
  <c r="F33"/>
  <c r="D53" i="9"/>
  <c r="M13" i="7"/>
  <c r="L6" i="11"/>
  <c r="M6" s="1"/>
  <c r="N10" i="7"/>
  <c r="F47" i="10"/>
  <c r="S8" i="11"/>
  <c r="P5"/>
  <c r="Q5" s="1"/>
  <c r="G21" i="6"/>
  <c r="F21"/>
  <c r="F36" i="8"/>
  <c r="E39"/>
  <c r="M12" i="9"/>
  <c r="M14" s="1"/>
  <c r="Q3" i="11"/>
  <c r="P4"/>
  <c r="Q4" s="1"/>
  <c r="G33" i="5"/>
  <c r="D48"/>
  <c r="O4" i="11" s="1"/>
  <c r="F33" i="5"/>
  <c r="F89" i="10"/>
  <c r="S9" i="11"/>
  <c r="T7"/>
  <c r="T10" s="1"/>
  <c r="F42" s="1"/>
  <c r="Q55" i="2" s="1"/>
  <c r="P7" i="11"/>
  <c r="Q7" s="1"/>
  <c r="G18" i="9"/>
  <c r="F18"/>
  <c r="N7" i="11"/>
  <c r="P21" i="8"/>
  <c r="O21"/>
  <c r="N36"/>
  <c r="M39"/>
  <c r="N12" i="6"/>
  <c r="O11"/>
  <c r="N12" i="9"/>
  <c r="O11"/>
  <c r="M29" i="8"/>
  <c r="O11" i="5"/>
  <c r="D54" i="4"/>
  <c r="O3" i="11" s="1"/>
  <c r="N11" i="4"/>
  <c r="O10"/>
  <c r="N3" i="11" s="1"/>
  <c r="E413" i="1"/>
  <c r="AE361"/>
  <c r="F37" i="8" l="1"/>
  <c r="G37" s="1"/>
  <c r="G36"/>
  <c r="N11" i="7"/>
  <c r="O11" s="1"/>
  <c r="O10"/>
  <c r="N6" i="11" s="1"/>
  <c r="N10" s="1"/>
  <c r="F47" i="4"/>
  <c r="F52" s="1"/>
  <c r="S3" i="11"/>
  <c r="S4"/>
  <c r="F46" i="5"/>
  <c r="S5" i="11"/>
  <c r="F35" i="6"/>
  <c r="F49" s="1"/>
  <c r="F63" s="1"/>
  <c r="F66" s="1"/>
  <c r="O7" i="11"/>
  <c r="Q57" i="2"/>
  <c r="Q89" s="1"/>
  <c r="S7" i="11"/>
  <c r="F32" i="9"/>
  <c r="F46" s="1"/>
  <c r="F51" s="1"/>
  <c r="O12"/>
  <c r="N13"/>
  <c r="O27" i="8"/>
  <c r="N37"/>
  <c r="O37" s="1"/>
  <c r="O36"/>
  <c r="L10" i="11"/>
  <c r="F24" s="1"/>
  <c r="M10"/>
  <c r="N13" i="6"/>
  <c r="O12"/>
  <c r="N12" i="4"/>
  <c r="O12" s="1"/>
  <c r="O11"/>
  <c r="E343" i="1"/>
  <c r="AG284"/>
  <c r="S10" i="11" l="1"/>
  <c r="N19" i="2"/>
  <c r="N80"/>
  <c r="N14" i="6"/>
  <c r="O14" s="1"/>
  <c r="O13"/>
  <c r="AN220" i="1"/>
  <c r="AG217"/>
  <c r="S19" i="2" l="1"/>
  <c r="N89"/>
  <c r="AG224" i="1"/>
  <c r="AN1108" l="1"/>
  <c r="AA291" l="1"/>
  <c r="AA295" s="1"/>
  <c r="AA301" s="1"/>
  <c r="AA1299"/>
  <c r="AN222" s="1"/>
  <c r="AG1583"/>
  <c r="AA1583"/>
  <c r="AA1587"/>
  <c r="AN243"/>
  <c r="AG1420"/>
  <c r="AG1408" s="1"/>
  <c r="AA1420"/>
  <c r="AA1408" s="1"/>
  <c r="AA1423"/>
  <c r="AN245" s="1"/>
  <c r="F1586"/>
  <c r="E1571"/>
  <c r="E1570"/>
  <c r="E1568"/>
  <c r="AF1557"/>
  <c r="AB1557"/>
  <c r="AJ1557" s="1"/>
  <c r="AF1551"/>
  <c r="AG1423"/>
  <c r="F1403"/>
  <c r="U1401"/>
  <c r="AK1387"/>
  <c r="AM1356"/>
  <c r="AK1376"/>
  <c r="AK1365"/>
  <c r="AG1356"/>
  <c r="AA1356"/>
  <c r="AN241" s="1"/>
  <c r="AM1355"/>
  <c r="AG1355"/>
  <c r="AA1355"/>
  <c r="AM1353"/>
  <c r="AG1353"/>
  <c r="AA1353"/>
  <c r="F1348"/>
  <c r="AK1344"/>
  <c r="AF1340"/>
  <c r="AF1344" s="1"/>
  <c r="T1329"/>
  <c r="AN229" s="1"/>
  <c r="E1318"/>
  <c r="E1317"/>
  <c r="E1315"/>
  <c r="AG1309"/>
  <c r="AG1587" s="1"/>
  <c r="AG1299"/>
  <c r="AM1282"/>
  <c r="AG1282"/>
  <c r="AA1282"/>
  <c r="AM1277"/>
  <c r="AG1277"/>
  <c r="AA1277"/>
  <c r="X1266"/>
  <c r="AN1264"/>
  <c r="R1266"/>
  <c r="R1271" s="1"/>
  <c r="X1254"/>
  <c r="AC421"/>
  <c r="E1227"/>
  <c r="E1226"/>
  <c r="E1224"/>
  <c r="E1166"/>
  <c r="E1165"/>
  <c r="E1163"/>
  <c r="AG1148"/>
  <c r="AN286"/>
  <c r="AN1138"/>
  <c r="AN1137"/>
  <c r="AN1136"/>
  <c r="AN1135"/>
  <c r="AN1134"/>
  <c r="AN1133"/>
  <c r="AN1132"/>
  <c r="AN1131"/>
  <c r="AN280"/>
  <c r="AN1122"/>
  <c r="AN1120"/>
  <c r="AN1119"/>
  <c r="AN1118"/>
  <c r="AN279"/>
  <c r="AN1109"/>
  <c r="AG1107"/>
  <c r="AN1107" s="1"/>
  <c r="AG1106"/>
  <c r="AN1106" s="1"/>
  <c r="AG1105"/>
  <c r="AN1105" s="1"/>
  <c r="AG1104"/>
  <c r="AG1103"/>
  <c r="AN1103" s="1"/>
  <c r="F1112"/>
  <c r="F1126" s="1"/>
  <c r="F1141" s="1"/>
  <c r="E942"/>
  <c r="E941"/>
  <c r="E939"/>
  <c r="E724"/>
  <c r="E723"/>
  <c r="E721"/>
  <c r="F496"/>
  <c r="E484"/>
  <c r="E483"/>
  <c r="E481"/>
  <c r="AG443"/>
  <c r="AC430"/>
  <c r="E414"/>
  <c r="E412"/>
  <c r="E411"/>
  <c r="E344"/>
  <c r="E342"/>
  <c r="E341"/>
  <c r="AK339"/>
  <c r="AK410" s="1"/>
  <c r="Z334"/>
  <c r="Z404" s="1"/>
  <c r="Z471" s="1"/>
  <c r="F334"/>
  <c r="F404" s="1"/>
  <c r="AO299"/>
  <c r="AN299"/>
  <c r="AN290"/>
  <c r="AG291"/>
  <c r="AG295" s="1"/>
  <c r="D279"/>
  <c r="E275"/>
  <c r="E273"/>
  <c r="E272"/>
  <c r="W243"/>
  <c r="AN242"/>
  <c r="AP237"/>
  <c r="AO237"/>
  <c r="AN237"/>
  <c r="W237"/>
  <c r="AN236"/>
  <c r="AA224"/>
  <c r="AN223"/>
  <c r="D223"/>
  <c r="D222"/>
  <c r="D220"/>
  <c r="AP219"/>
  <c r="AO219"/>
  <c r="AN219"/>
  <c r="W219"/>
  <c r="D219"/>
  <c r="D218"/>
  <c r="E207"/>
  <c r="E206"/>
  <c r="E141"/>
  <c r="E71"/>
  <c r="C284"/>
  <c r="AN230"/>
  <c r="C280"/>
  <c r="D280"/>
  <c r="T357" l="1"/>
  <c r="U361" s="1"/>
  <c r="AJ361" s="1"/>
  <c r="AA231"/>
  <c r="AG418"/>
  <c r="AG453" s="1"/>
  <c r="AG301"/>
  <c r="F1473"/>
  <c r="F1490" s="1"/>
  <c r="U1266"/>
  <c r="U1271" s="1"/>
  <c r="F471"/>
  <c r="F973"/>
  <c r="AN1387"/>
  <c r="W245"/>
  <c r="W215"/>
  <c r="X1271"/>
  <c r="AN247"/>
  <c r="AK479"/>
  <c r="AB1328"/>
  <c r="AB1329" s="1"/>
  <c r="AF1559"/>
  <c r="AB1551"/>
  <c r="AG225"/>
  <c r="AA225"/>
  <c r="I83"/>
  <c r="AN231" l="1"/>
  <c r="AA234"/>
  <c r="AA247" s="1"/>
  <c r="F1590"/>
  <c r="F1601" s="1"/>
  <c r="AK773"/>
  <c r="AB1559"/>
  <c r="AJ1559" s="1"/>
  <c r="AJ1551"/>
  <c r="I92"/>
  <c r="I82"/>
  <c r="I84"/>
  <c r="AN215"/>
  <c r="AK821" l="1"/>
  <c r="AK878" s="1"/>
  <c r="AK936" s="1"/>
  <c r="AK1010" s="1"/>
  <c r="AK1082" s="1"/>
  <c r="AK1159" s="1"/>
  <c r="AK1222" s="1"/>
  <c r="AK1311" l="1"/>
  <c r="AK1435" s="1"/>
  <c r="AK1499" s="1"/>
  <c r="D37" i="7"/>
  <c r="O6" i="11" s="1"/>
  <c r="O10" s="1"/>
  <c r="S13" s="1"/>
  <c r="P6"/>
  <c r="P10" s="1"/>
  <c r="F20" l="1"/>
  <c r="Q13"/>
  <c r="Q14" s="1"/>
  <c r="F17"/>
  <c r="L55" i="2" s="1"/>
  <c r="I6" i="11"/>
  <c r="I10" s="1"/>
  <c r="F31" i="7"/>
  <c r="R10" i="11"/>
  <c r="I14" s="1"/>
  <c r="F33" l="1"/>
  <c r="F39" s="1"/>
  <c r="I28"/>
  <c r="I25"/>
  <c r="L89" i="2"/>
  <c r="M55"/>
  <c r="M57"/>
  <c r="Q10" i="11"/>
  <c r="F28"/>
  <c r="F38" s="1"/>
  <c r="Q6"/>
  <c r="F30" l="1"/>
  <c r="F35"/>
  <c r="P57" i="2"/>
  <c r="P72"/>
  <c r="R80"/>
  <c r="S80" s="1"/>
  <c r="R72"/>
  <c r="M89"/>
  <c r="S55"/>
  <c r="O57"/>
  <c r="O87"/>
  <c r="S87" s="1"/>
  <c r="R89" l="1"/>
  <c r="S57"/>
  <c r="S72"/>
  <c r="P89"/>
  <c r="O89"/>
  <c r="S89" l="1"/>
  <c r="V69"/>
  <c r="AJ1549" i="1"/>
  <c r="AJ1554"/>
  <c r="AG1153"/>
  <c r="AG1154"/>
  <c r="AN288"/>
</calcChain>
</file>

<file path=xl/sharedStrings.xml><?xml version="1.0" encoding="utf-8"?>
<sst xmlns="http://schemas.openxmlformats.org/spreadsheetml/2006/main" count="4842" uniqueCount="1671">
  <si>
    <t>3.</t>
  </si>
  <si>
    <t>4.</t>
  </si>
  <si>
    <t>5.</t>
  </si>
  <si>
    <t>6.</t>
  </si>
  <si>
    <t>7.</t>
  </si>
  <si>
    <t>8.</t>
  </si>
  <si>
    <t>9.</t>
  </si>
  <si>
    <t>Оподаткування</t>
  </si>
  <si>
    <t>10.</t>
  </si>
  <si>
    <t>Витрати на заробітну плату</t>
  </si>
  <si>
    <t>11.</t>
  </si>
  <si>
    <t>12.</t>
  </si>
  <si>
    <t>13.</t>
  </si>
  <si>
    <t>14.</t>
  </si>
  <si>
    <t>Статутний капитал</t>
  </si>
  <si>
    <t>15.</t>
  </si>
  <si>
    <t>16.</t>
  </si>
  <si>
    <t>17.</t>
  </si>
  <si>
    <t>Контрактні та умовні зобовязання</t>
  </si>
  <si>
    <t>18.</t>
  </si>
  <si>
    <t xml:space="preserve">Повязані сторони </t>
  </si>
  <si>
    <t>19.</t>
  </si>
  <si>
    <t>Політика управління фінансовими ризиками</t>
  </si>
  <si>
    <t>20.</t>
  </si>
  <si>
    <t>-</t>
  </si>
  <si>
    <t>Під час підготовки фінансової звітності відповідно до МСФЗ керівництво Компанії несе відповідальність за:</t>
  </si>
  <si>
    <t>- вибір належних принципів бухгалтерського обліку та їх послідовне застосування;</t>
  </si>
  <si>
    <t>- застосування обґрунтованих оцінок і суджень;</t>
  </si>
  <si>
    <t>- дотримання принципів МСФЗ або розкриття усіх суттєвих відхилень від МСФЗ у примітках до фінансової звітності;</t>
  </si>
  <si>
    <t>- підготовку фінансової звітності відповідно до МСФЗ, згідно з припущенням, що Компанія і далі буде здійснювати свою діяльність у найближчому майбутньому, за виключенням випадків, коли таке припущення не буде правомірним;</t>
  </si>
  <si>
    <t>- облік та розкриття у фінансовій звітності всіх відносин та операцій між пов'язаними сторонами;</t>
  </si>
  <si>
    <t>- облік та розкриття у фінансовій звітності всіх подій після дати балансу, які вимагають корегування або розкриття;</t>
  </si>
  <si>
    <t>- розкриття всіх претензій у зв'язку з судовими позовами, які були, або, можливі в найближчому майбутньому;</t>
  </si>
  <si>
    <t>- достовірне розкриття в фінансовій звітності інформації про всі надані кредити або гарантії від імені керівництва.</t>
  </si>
  <si>
    <t>Керівництво Компанії також несе відповідальність за:</t>
  </si>
  <si>
    <t>- розробку, впровадження та забезпечення функціонування ефективної і надійної системи внутрішнього контролю у Компанії;</t>
  </si>
  <si>
    <t>- ведення бухгалтерського обліку відповідно до законодавства та стандартів бухгалтерського обліку відповідної країни реєстрації Компанії;</t>
  </si>
  <si>
    <t>- прийняття заходів у межах своєї компетенції для захисту активів Компанії;</t>
  </si>
  <si>
    <t>- виявлення та попередження фактів шахрайства та інших зловживань.</t>
  </si>
  <si>
    <t>Від імені керівництва Компанії:</t>
  </si>
  <si>
    <t>Директор  Л.В. Коровьонкова</t>
  </si>
  <si>
    <t>Головний бухгалтер   О.В. Хижняк</t>
  </si>
  <si>
    <t>(в тисячах гривень, якщо не вказано інше)</t>
  </si>
  <si>
    <t>Прим.</t>
  </si>
  <si>
    <t>АКТИВИ</t>
  </si>
  <si>
    <t>Необоротні активи</t>
  </si>
  <si>
    <t>Основні засоби</t>
  </si>
  <si>
    <t>A01</t>
  </si>
  <si>
    <t>A.184</t>
  </si>
  <si>
    <t>Оборотні активи</t>
  </si>
  <si>
    <t>Біологічні активи</t>
  </si>
  <si>
    <t>A21</t>
  </si>
  <si>
    <t>Торгова дебіторська заборгованість, нетто</t>
  </si>
  <si>
    <t>A05</t>
  </si>
  <si>
    <t>Передплата з податку на прибуток</t>
  </si>
  <si>
    <t>Аванси видані та інші оборотні активи</t>
  </si>
  <si>
    <t>A15</t>
  </si>
  <si>
    <t>A13</t>
  </si>
  <si>
    <t>A12</t>
  </si>
  <si>
    <t>Грошові кошти та їх еквіваленти</t>
  </si>
  <si>
    <t>A18</t>
  </si>
  <si>
    <t>ВСЬОГО АКТИВИ</t>
  </si>
  <si>
    <t>КАПІТАЛ ТА ЗОБОВ'ЯЗАННЯ</t>
  </si>
  <si>
    <t>Капітал</t>
  </si>
  <si>
    <t>Статутний капітал</t>
  </si>
  <si>
    <t>E01</t>
  </si>
  <si>
    <t>Неоплачений капітал</t>
  </si>
  <si>
    <t>E07</t>
  </si>
  <si>
    <t>Нерозподілений прибуток</t>
  </si>
  <si>
    <t>E06</t>
  </si>
  <si>
    <t>Довгострокові зобов'язання</t>
  </si>
  <si>
    <t>Забезпечення</t>
  </si>
  <si>
    <t>L01</t>
  </si>
  <si>
    <t>L02</t>
  </si>
  <si>
    <t>Довгострокові зобов'язання з фінансової оренди</t>
  </si>
  <si>
    <t>L03</t>
  </si>
  <si>
    <t>Поточні зобов'язання</t>
  </si>
  <si>
    <t>Короткострокові кредити та позики</t>
  </si>
  <si>
    <t>L06.01</t>
  </si>
  <si>
    <t>L06.04</t>
  </si>
  <si>
    <t>Поточна частина довгострокових зобов'язань</t>
  </si>
  <si>
    <t>L07</t>
  </si>
  <si>
    <t>L06.03</t>
  </si>
  <si>
    <t>Торгова кредиторська заборгованість</t>
  </si>
  <si>
    <t>L08.01</t>
  </si>
  <si>
    <t>Передплати одержані та інші короткострокові зобов'язання</t>
  </si>
  <si>
    <t>L10</t>
  </si>
  <si>
    <t>L04</t>
  </si>
  <si>
    <t>L08.03</t>
  </si>
  <si>
    <t>ВСЬОГО КАПІТАЛ ТА ЗОБОВ'ЯЗАННЯ</t>
  </si>
  <si>
    <t>Виручка</t>
  </si>
  <si>
    <t>P01</t>
  </si>
  <si>
    <t>Собівартість</t>
  </si>
  <si>
    <t>P02</t>
  </si>
  <si>
    <t>Валовий прибуток</t>
  </si>
  <si>
    <t>Загальні та адміністративні витрати</t>
  </si>
  <si>
    <t>P04</t>
  </si>
  <si>
    <t>Витрати на збут</t>
  </si>
  <si>
    <t>P03</t>
  </si>
  <si>
    <t>Інші доходи /(витрати), нетто</t>
  </si>
  <si>
    <t>P05</t>
  </si>
  <si>
    <t>P06</t>
  </si>
  <si>
    <t>P.744</t>
  </si>
  <si>
    <t>P.974</t>
  </si>
  <si>
    <t>P.718</t>
  </si>
  <si>
    <t>Фінансові витрати</t>
  </si>
  <si>
    <t>P.951.01</t>
  </si>
  <si>
    <t>P.952.02</t>
  </si>
  <si>
    <t>P.952.20</t>
  </si>
  <si>
    <t>P.733</t>
  </si>
  <si>
    <t>P.952.01</t>
  </si>
  <si>
    <t>Прибуток до оподаткування</t>
  </si>
  <si>
    <t>Витрати з податку на прибуток</t>
  </si>
  <si>
    <t>Прибуток за період</t>
  </si>
  <si>
    <t>Інший сукупний дохід/(збиток):</t>
  </si>
  <si>
    <t>Ефект від переведення у валюту подання</t>
  </si>
  <si>
    <t>P15</t>
  </si>
  <si>
    <t>Всього сукупний дохід за період</t>
  </si>
  <si>
    <t>Нерозподілений 
прибуток</t>
  </si>
  <si>
    <t>Всього капітал</t>
  </si>
  <si>
    <t>Грошові потоки від операційної діяльності</t>
  </si>
  <si>
    <t>Коригування на:</t>
  </si>
  <si>
    <t>Амортизація основних засобів та нематеріальних активів</t>
  </si>
  <si>
    <t>Ефект від оцінки біологічних активів та сільськогосподарської продукції за справедливою вартістю, нетто</t>
  </si>
  <si>
    <t>Доходи/(витрати) від курсових різниць, нетто</t>
  </si>
  <si>
    <t>Зміни в оборотному капіталі:</t>
  </si>
  <si>
    <t>(Збільшення) / Зменшення торгової дебіторської заборгованості</t>
  </si>
  <si>
    <t>(Збільшення) / Зменшення авансів виданих та 
інших оборотних активів</t>
  </si>
  <si>
    <t>Збільшення / (Зменшення) торгової кредиторської заборгованості</t>
  </si>
  <si>
    <t>Збільшення / (зменшення) передплат отриманих та інших короткострокових зобов'язань</t>
  </si>
  <si>
    <t>Грошові кошти, отримані від господарських операцій</t>
  </si>
  <si>
    <t>Фінансові витрати сплаченні</t>
  </si>
  <si>
    <t>Чисті грошові потоки від операційної діяльності</t>
  </si>
  <si>
    <t>Рух потоків від інвестиційної діяльності</t>
  </si>
  <si>
    <t>Придбання основних засобів і нематеріальних активів</t>
  </si>
  <si>
    <t>Чисті грошові потоки від інвестиційної діяльності</t>
  </si>
  <si>
    <t>Рух потоків від фінансової діяльності</t>
  </si>
  <si>
    <t>Надходження позик</t>
  </si>
  <si>
    <t>Повернення позик</t>
  </si>
  <si>
    <t>Чисті грошові потоки від фінансової діяльності</t>
  </si>
  <si>
    <t>Чисте збільшення/(зменшення) грошових коштів та їх еквівалентів</t>
  </si>
  <si>
    <t>Грошові кошти та їх еквіваленти, на початок року</t>
  </si>
  <si>
    <t>Грошові кошти та їх еквіваленти, на кінець року</t>
  </si>
  <si>
    <t>ПРИМІТКИ ДО ФІНАНСОВОЇ ЗВІТНОСТІ</t>
  </si>
  <si>
    <t>КОМПАНІЯ ТА ЇЇ ОСНОВНА ДІЯЛЬНІСТЬ</t>
  </si>
  <si>
    <t>Компанія є платником податку на загальних підствах.</t>
  </si>
  <si>
    <t>ОСНОВНІ ПОЛОЖЕННЯ ОБЛІКОВОЇ ПОЛІТИКИ</t>
  </si>
  <si>
    <t>Основа підготовки</t>
  </si>
  <si>
    <t>Представлена фінансова звітність підготовлена у відповідності з Міжнародними стандартами фінансової звітності (МСФЗ) в редакції опублікованій Радою з Міжнародних стандартів фінансової звітності (Рада з МСФЗ).</t>
  </si>
  <si>
    <t xml:space="preserve">Відповідно, Компанія підготувала фінансову звітність, яка відповідає МСФЗ, які застосовуються по відношенню до звітних періодів, що закінчилися 31 грудня 2011 року, разом із порівняльною інформацією станом на 31 грудня 2010 року та за рік, що закінчився вказаною датою, як описано у обліковій політиці. При підготовці даної фінансової звітності, що відповідає МСФЗ вхідний звіт про фінансове положення Компанії був підготовлений на 1 січня 2010 року - дату переходу Компанії на МСФЗ. При перерахунку звіту про фінансове положення, складеного на 1 січня 2012 року згідно П(С)БО, а також раніше підготовленої згідно П(С)БО фінансової звітності станом на 31 грудня 2012 року та за рік, що закінчився на вказану дату, будь-які суттєві коригування, що вплинули на фінансове положення, фінансові результати діяльності та рух грошових коштів Компанії, відсутні. </t>
  </si>
  <si>
    <t>Дана фінансова звітність підготовлена виходячи з припущення неперервності діяльності, у відповідності з яким реалізація активів та погашення зобов'язань відбувається в ході звичайної діяльності. Дана фінансова звітність не містить коригувань, що можуть бути необхідні у випадку, якщо Компанія не зможе дотримуватись принципу неперервності діяльності.</t>
  </si>
  <si>
    <t>Функціональна валюта та валюта подання</t>
  </si>
  <si>
    <t>Функціональною валютою Компанії є українська гривня ("грн."). Операції в валютах, що відрізняються від функціональної валюти Компанії вважаються операціями в іноземній валюті. Операції в іноземній валюті переводяться за курсом обміну, що діє на дату операції або оцінки, якщо статті підлягають переоцінці. Доходи або збитки від курсових різниць у результаті операцій погашення або переоцінки монетарних активів чи зобов'язань на кінець року, деномінованих в іноземній валюті, визнаються у звіті про сукупний дохід.</t>
  </si>
  <si>
    <t>Валютою подання даної фінансової звітності є українська гривня ("грн.").</t>
  </si>
  <si>
    <t>Фінансові результати та фінансове положення Компанії переведені в валюту подання наступним чином:</t>
  </si>
  <si>
    <t>Активи та зобов'язання по кожному представленому балансу перераховуються за курсом обміну валют згідно курсу Національного банку України на звітну дату;</t>
  </si>
  <si>
    <t>Статті капіталу переводяться у валюту подання використовуючи історичний курс;</t>
  </si>
  <si>
    <t>Всі курсові різниці, що виникають, визнаються в якості окремого компонента капіталу в статті "Резерв переведення у валюту подання".</t>
  </si>
  <si>
    <t>Основні курси обміну української гривні, що використовуються при підготовці фінансової звітності, представлені наступним чином:</t>
  </si>
  <si>
    <t>31 грудня 
2011 року</t>
  </si>
  <si>
    <t>Середній курс за 2011 рік</t>
  </si>
  <si>
    <t>31 грудня 
2010 року</t>
  </si>
  <si>
    <t>Середній курс за 2010 рік</t>
  </si>
  <si>
    <t>1 січня 
2010 року</t>
  </si>
  <si>
    <t>Валюта</t>
  </si>
  <si>
    <t>Долар США / Українська гривня</t>
  </si>
  <si>
    <t>Іноземна валюта може бути вільно конвертована в межах України за курсом обміну, близькому до курсу обміну, що встановлений Національним Банком України.  На даний момент українська гривня не є вільно конвертованою валютою за межами України.</t>
  </si>
  <si>
    <t>Основні засоби обліковуються за первісною (історичною) вартістю за вирахуванням накопиченої амортизації та накопичених збитків від знецінення в разі їх наявності.</t>
  </si>
  <si>
    <t>Історична вартість основних засобів включає: (а) ціну покупки, включаючи невідшкодовані імпортні мита і податки, за вирахуванням торговельних та інших знижок; (б) всі витрати, безпосередньо пов'язані з доставкою активу на місце розташування та приведення у стан, що забезпечує його використання у відповідності з намірами менеджменту; (в) первісна оцінка витрат з демонтажу і вивозу основного засобу, і відновлення зайнятої території; ці зобов'язання оцінюються Компанією або в рамках придбання активу, або як результат діяльності, протягом певного періоду часу, не пов'язаної з виробництвом товарів, протягом цього періоду.</t>
  </si>
  <si>
    <t xml:space="preserve">Капіталізовані витрати включають основні витрати з модернізації та заміни деталей активу, які продовжують термін його корисного використання або покращують їх здатність генерувати дохід. Вартість ремонтів і технічного обслуговування основних засобів, які не відповідають описаним вище критеріям капіталізації, визнаються у звіті про сукупний дохід в періоді, в якому вони виникли.  </t>
  </si>
  <si>
    <t xml:space="preserve">Амортизація здійснюється шляхом списання вартості, яка амортизується протягом строку корисного використання активу і розраховується прямолінійним методом. Строки корисного використання груп основних засобів зазначені нижче: </t>
  </si>
  <si>
    <t>Група основних засобів</t>
  </si>
  <si>
    <t>Строк корисного використання</t>
  </si>
  <si>
    <t>Земля</t>
  </si>
  <si>
    <t>Не амортизується</t>
  </si>
  <si>
    <t>Будівлі та споруди</t>
  </si>
  <si>
    <t>від 10 до 30 років</t>
  </si>
  <si>
    <t>Машини та обладнання</t>
  </si>
  <si>
    <t>від 5 до 15 років</t>
  </si>
  <si>
    <t>Сільськогосподарська техніка та обладнання</t>
  </si>
  <si>
    <t>від 4 до 25 років</t>
  </si>
  <si>
    <t>Транспортні засоби</t>
  </si>
  <si>
    <t>від 5 до 10 років</t>
  </si>
  <si>
    <t>Інструменти, прилади та інші основні засоби</t>
  </si>
  <si>
    <t>від 4 до 8 років</t>
  </si>
  <si>
    <t>Незавершене будівництво</t>
  </si>
  <si>
    <t>Амортизована вартість - вартість основного засобу або інша вартість, що її заміняє, за вирахуванням залишкової вартості. Залишкова вартість активу - оцінена сума, яку компанія отримає на дату продажу основного засобу, мінус оціночна вартість вибуття, якщо актив досяг віку і стану, в якому може закінчуватися термін його корисного використання.</t>
  </si>
  <si>
    <t xml:space="preserve">Залишкова вартість активів та строк їх корисного використання переглядаються та, за необхідності, коригуються в кінці кожного звітного періоду. Вплив всіх змін, що  виникають в результаті оцінок, зроблених у попередніх періодах, обліковуються як зміни в облікових оцінках. </t>
  </si>
  <si>
    <t xml:space="preserve">Прибуток або збиток в результаті вибуття або ліквідації основних засобів визначається як різниця між надходженнями грошових коштів від продажу та балансовою вартістю активу і визнається у складі звіту про сукупний дохід. </t>
  </si>
  <si>
    <t>Капітальне будівництво включає витрати безпосередньо пов'язані з будівництвом основного засобу, включаючи розподіл різних накладних витрат, які стосуються будівництва. Капітальне будівництво не підлягає амортизації. Ці активи амортизуються з моменту введення в експлуатацію, на тій же основі, що й інші активи.</t>
  </si>
  <si>
    <t>Нематеріальні активи</t>
  </si>
  <si>
    <t>Нематеріальні активи придбані окремо, відображаються за вартістю первісного визнання. Після первісного визнання, нематеріальні активи відображаються за собівартістю за вирахуванням накопиченої амортизації та накопичених збитків від знецінення.</t>
  </si>
  <si>
    <t>Нематеріальні активи ("Програмне забезпечення") амортизуються прямолінійним методом протягом очікуваного строку корисного використання, який становить від 2 до 10 років.</t>
  </si>
  <si>
    <t xml:space="preserve">Строк корисного використання та метод амортизації нематеріальних активів переглядаються та, за необхідності, коригуються в кінці кожного звітного періоду. Вплив всіх змін, що виникають в результаті оцінок, зроблених у попередніх періодах, обліковуються як зміни в облікових оцінках. </t>
  </si>
  <si>
    <t>Знецінення основних засобів та нематеріальних активів</t>
  </si>
  <si>
    <t xml:space="preserve">На кожну звітну дату Компанія переглядає балансову вартість основних засобів і нематеріальних активів, щоб визначити чи існують ознаки знецінення. Якщо подібні ознаки існують, очікувана сума відшкодування активу оцінюється, щоб визначити суму збитків від знецінення.
</t>
  </si>
  <si>
    <t>Для визначення збитків від знецінення активи групуються на найнижчому рівні, для якого можливо визначити окремий грошовий потік (одиниця, яка генерує грошові кошти).</t>
  </si>
  <si>
    <t>Сума відшкодування - більша з двох оцінок: справедлива вартість за вирахуванням витрат на збут та цінність використання активу.</t>
  </si>
  <si>
    <t>При оцінці вартості використання активу, передбачувані майбутні грошові потоки дисконтуються до їх поточної вартості з використанням ставки дисконту до оподаткування, що відображає поточні ринкові оцінки вартості грошей у часі та ризики, що відносяться до даного активу.</t>
  </si>
  <si>
    <t>Якщо за оцінками сума очікуваного відшкодування активу (або одиниці, яка генерує грошові кошти) менша від його балансової вартості, то балансова вартість активу (або одиниці, яка генерує грошові кошти) зменшується до суми очікуваного відшкодування. Збиток від знецінення визнається негайно у звіті про сукупний дохід, за винятком випадків, коли актив обліковується за переоціненою вартістю. У цьому випадку збиток від знецінення розглядається як зменшення переоціненої вартості.</t>
  </si>
  <si>
    <t>Якщо збиток від зниження вартості згодом сторнується, то балансова вартість активу (або одиниці, яка генерує грошові кошти) збільшується до переглянутої оцінки суми очікуваного відшкодування, при цьому збільшена балансова вартість не повинна перевищувати балансову вартість, яка могла б бути визначена в тому випадку, якщо б не був визнаний збиток від знецінення для активу (або одиниці, яка генерує грошові кошти) в попередні роки. Сторнування збитку від знецінення негайно визнається як дохід, за винятком випадків, коли актив враховується за переоціненою вартістю. У цьому випадку збиток від знецінення розглядається як збільшення переоціненої вартістю.</t>
  </si>
  <si>
    <t>Запаси</t>
  </si>
  <si>
    <t>Запаси відображаються за найменшою з вартостей: собівартості або чистої вартості реалізації. Чистою вартістю реалізації є розрахункова вартість продажу в ході нормального ведення господарської діяльності мінус попередньо оцінені витрати на завершення та попередньо оцінені витрати на збут. Списання запасів обліковується за методом середньозваженої собівартості.</t>
  </si>
  <si>
    <t>Собівартість запасів включає всі витрати на придбання, витрати на переробку та інші витрати, понесені при доставці запасів до їх теперішнього місця розташування та приведення їх у відповідний стан.</t>
  </si>
  <si>
    <t>Компанія виділяє наступні види товарно-матеріальних запасів:</t>
  </si>
  <si>
    <t xml:space="preserve">сировина і матеріали </t>
  </si>
  <si>
    <t>інші запаси.</t>
  </si>
  <si>
    <t>У складі статті "Незавершене виробництво" в тому числі обліковуються витрати, понесені у звітному періоді, але які відносяться до підготовки посівних площ під посіви майбутніх звітних періодів.</t>
  </si>
  <si>
    <t>На кожну звітну дату Компанія оцінює запаси на предмет наявності пошкоджень, старіння, втрати ліквідності, зниження чистої вартості реалізації. У разі, якщо такі події мають місце, сума, на яку зменшується вартість запасів, відображається як збиток у звіті про сукупний дохід.</t>
  </si>
  <si>
    <t>Фінансові інструменти</t>
  </si>
  <si>
    <t>За винятком інструментів власного капіталу, наявних для продажу, якщо в наступному періоді сума збитків від знецінення зменшиться, і це зменшення може бути об'єктивно пов'язане з подією, що виникла після визнання знецінення, збитки від знецінення, які визнані раніше, покриваються коригуванням відповідних статей у звіті про прибутки і збитки. В даному випадку, балансова вартість фінансових інвестицій на дату покриття збитків не може перевищувати їх амортизовану вартість, яка була б відображена, якщо б збитки не були визнані.</t>
  </si>
  <si>
    <r>
      <t xml:space="preserve">Фінансові зобов'язання, які оцінюються за амортизованою вартістю - </t>
    </r>
    <r>
      <rPr>
        <sz val="10"/>
        <color indexed="8"/>
        <rFont val="Garamond"/>
        <family val="1"/>
        <charset val="204"/>
      </rPr>
      <t>інші фінансові зобов'язання. При первісному визнанні фінансові зобов'язання відображаються за справедливою вартістю за вирахуванням витрат безпосередньо пов'язаних із здійсненням операції. У подальшому позики і кредиторська заборгованість відображаються за амортизованою вартістю з використанням методу ефективної відсоткової ставки.</t>
    </r>
  </si>
  <si>
    <t>Фінансовий актив (або, якщо це можливо застосувати, частина фінансового активу або частина групи однотипних фінансових активів) списується з балансу в таких випадках:</t>
  </si>
  <si>
    <t>закінчився термін права отримання грошових надходжень від активу;</t>
  </si>
  <si>
    <t>термін права отримання грошових надходжень від активу не минув, однак Компанія прийняла рішення виплатити їх третій особі без істотної тимчасової затримки і в повному розмірі за договором передачі, чи Компанія передала свої права на отримання грошових надходжень від активу або а) передала більшість ризиків і вигод, пов'язаних з активом, або б) передала контроль над активом без передачі або збереження більшості ризиків і вигод, пов'язаних з активом.</t>
  </si>
  <si>
    <t xml:space="preserve">Фінансові зобов'язання списуються при їх погашенні, скасуванні або закінченні терміну права їх вимоги. Коли наявне фінансове зобов'язання замінюється іншим зобов'язанням перед тим же кредитором з суттєво відмінними умовами, або істотно змінюються умови наявного зобов'язання, така заміна або зміна показуються як списання з балансу наявного та прийняття нового зобов'язання з відображенням різниці відповідних балансових вартостей у звіті про сукупний дохід.
</t>
  </si>
  <si>
    <t>Знецінення не фінансових активів</t>
  </si>
  <si>
    <t>На кожну звітну дату визначається наявність ознак знецінення не фінансових активів. Якщо такі виявлені, а також при необхідності перевірки можливого знецінення активу за рік, що завершився, керівництво визначає суму очікуваного відшкодування такого активу. Якщо вона менша від його балансової вартості, то остання зменшується до рівня  вартості відшкодування.</t>
  </si>
  <si>
    <t>Збиток від зменшення триваючих видів діяльності знаходить своє відображення у фінансових результатах у складі категорій, відповідних до функцій знеціненого активу.</t>
  </si>
  <si>
    <t>Грошові кошти і короткострокові депозити</t>
  </si>
  <si>
    <t>Грошові кошти і короткострокові депозити в звіті про фінансовий стан включають грошові кошти в банках і в касі і короткострокові депозити з первісним строком погашення 3 місяці або менше.</t>
  </si>
  <si>
    <t>Для цілей звіту про рух грошових коштів, грошові кошти та їх еквіваленти складаються з грошових коштів та короткострокових депозитів, згідно з визначенням наведеним вище, за вирахуванням непогашених банківських овердрафтів.</t>
  </si>
  <si>
    <t>Торгова та інша кредиторська заборгованість</t>
  </si>
  <si>
    <t>Торгова кредиторська заборгованість визнається, коли контрагент виконує договірні зобов'язання і вимірюється за амортизованою вартістю, використовуючи ефективну ставку відсотка.</t>
  </si>
  <si>
    <t>Кредити і позики</t>
  </si>
  <si>
    <t>Кредити і позики спочатку визнаються за справедливою вартістю за вирахуванням супутніх витрат. Надалі кредити і позики обліковуються за амортизованою вартістю; всі різниці між сумами грошових надходжень (за вирахуванням витрат на здійснення операції) і сумами погашень відображаються у звіті про прибутки і збитки в періоді, в якому кредити і позики випущені, використовуючи метод ефективної ставки відсотка. Кредити і позики класифікуються як поточні зобов'язання, якщо у Компанії немає безумовного права відкласти погашення зобов'язань не менше ніж на один рік після дати складання балансу.</t>
  </si>
  <si>
    <t>Визнання та оцінка доходів</t>
  </si>
  <si>
    <t>Надходження від Власного капіталу</t>
  </si>
  <si>
    <t>Капітал Компанії складається з власного капіталу, який належить засновнику, що включає в себе статутний капітал, резервний капітал, додатковий капітал та нерозподілений прибуток.</t>
  </si>
  <si>
    <t>Визнання та оцінка витрат</t>
  </si>
  <si>
    <t>Витрати визнаються Компанією, якщо виконуються наступні умови: сума витрат може бути надійно визначена, і виникає зменшення в майбутньому економічних вигод, пов'язаних зі зменшенням активу або збільшенням зобов'язань.</t>
  </si>
  <si>
    <t>Витрати визнаються у тому звітному періоді, в якому визнано доходи, для отримання яких вони понесені, або тоді, коли стає очевидно, що дані витрати не призведуть до отримання будь-яких доходів, незалежно від часу фактичної виплати коштів чи іншої форми їх оплати, коли економічні вигоди від їх використання зменшилися або повністю спожиті.</t>
  </si>
  <si>
    <t>Витрати, які неможливо прямо пов'язати з доходом певного періоду, відображаються у складі витрат того звітного періоду, в якому вони були здійснені.</t>
  </si>
  <si>
    <t>Якщо актив забезпечує одержання економічних вигод протягом кількох звітних періодів, то витрати визначаються шляхом систематичного розподілу його вартості між відповідними звітними періодами.</t>
  </si>
  <si>
    <t>Списання витрат майбутніх періодів проводиться рівномірно протягом періодів, до яких вони відносяться і, відповідно, протягом яких очікується отримання пов'язаної з ними економічної вигоди.</t>
  </si>
  <si>
    <t>Визнання та оцінка витрат (продовження)</t>
  </si>
  <si>
    <t>Витрати понесені у звітному періоді, але які відносяться до підготовки землі під посіви в майбутніх звітних періодах, обліковуються у звітному періоді в складі статті "Незавершене виробництво", яка, в свою чергу, входить до складу статті "Запаси" звіту про фінансове положення.</t>
  </si>
  <si>
    <t>Витрати за кредитами та позиками</t>
  </si>
  <si>
    <t>Компанія капіталізує всі витрати за кредитами і позиками, які можуть бути безпосередньо віднесені до придбання, будівництва або створення кваліфікованого активу, як частина вартості цього активу. Коли Компанія позичає грошові кошти на загальні цілі і надалі використовує їх для отримання кваліфікованого активу, сума витрат по кредитах і позиках визначається Компанією шляхом множення ставки капіталізації на суму витрат на такий актив. Ставка капіталізації являє собою середньозважену величину позикових коштів в рамках запозичень Компанії, що залишаються до погашення в ході звітного періоду, відмінних від коштів, отриманих безпосередньо в цілях отримання кваліфікованого активу.</t>
  </si>
  <si>
    <t>Інші витрати на позики, в основному, відносяться на витрати в тому періоді, в якому вони виникли.</t>
  </si>
  <si>
    <t>Для сільськогосподарського товаровиробника встановлено спеціальний режим по ПДВ, що передбачає ведення окремого податкового обліку податкових зобов'язань і податкового кредиту за цими операціями.</t>
  </si>
  <si>
    <t>Позитивна різниця між сумою ПДВ, одержаною сільськогосподарськими товаровиробниками від покупців, та сумою цього податку, сплаченого ними постачальникам, за операціями, які підлягають застосуванню спеціального режиму з ПДВ, перераховується сільськогосподарськими товаровиробниками з поточного рахунка на окремий рахунок, відкритий в установі банку, для відповідного цільового використання.</t>
  </si>
  <si>
    <t>Від'ємна різниця між сумою ПДВ, одержаною сільськогосподарськими товаровиробниками від покупців, та сумою цього податку, сплаченого ними постачальникам, за операціями, які підлягають застосуванню спеціального режиму з ПДВ, списується на інші операційні витрати періоду (з 01 січня 2012 року - зараховується сільськогосподарськими товаровиробниками у зменшення податкових зобов'язань наступних звітних періодів з певного виду діяльності).</t>
  </si>
  <si>
    <t>Умовні зобов'язання та активи</t>
  </si>
  <si>
    <t>Умовні зобов'язання не визнаються у фінансовій звітності. Подібні зобов'язання розкриваються у примітках до фінансової звітності, за винятком випадків, коли ймовірний відтік ресурсів, які втілюють у собі економічні вигоди, є несуттєвим.</t>
  </si>
  <si>
    <t xml:space="preserve">Умовні активи не визнаються у фінансовій звітності, але розкриваються у примітках до фінансової звітності в тій мірі, в якій ймовірне отримання Компанією економічних вигод. </t>
  </si>
  <si>
    <t>Забезпечення визнаються у фінансовій звітності Компанії, коли у неї є поточні юридичні або такі що випливають з практики зобов'язання, що виникли в результаті минулих подій, для погашення яких, ймовірне, вибуття ресурсів, що втілюють економічні вигоди і сума зобов'язань може бути достовірно оцінена.</t>
  </si>
  <si>
    <t>Оренда</t>
  </si>
  <si>
    <t>Активи, що утримуються за договорами фінансової оренди визнаються як активи Компанії за їх справедливою вартістю на дату початку оренди, або за поточною вартістю мінімальних орендних платежів. Відповідні зобов'язання перед орендодавцем відображаються в звіті про фінансовий стан як зобов'язання з фінансової оренди. Орендні платежі розподіляються між фінансовими витратами та зменшенням непогашених зобов'язань, так щоб забезпечити постійну ставку на залишок зобов'язань. Витрати з фінансової оренди визнаються безпосередньо у звіті про сукупний дохід і класифікуються як фінансові витрати.</t>
  </si>
  <si>
    <t>ІСТОТНІ СУДЖЕННЯ, ОЦІНКИ ТА ПРИПУЩЕННЯ</t>
  </si>
  <si>
    <t>Підготовка фінансової звітності вимагає від керівництва оцінок і припущень, які впливають на звітні суми доходів, витрат, активів і зобов'язань, і розкриття умовних зобов'язань, на кінець звітного періоду. Незважаючи на це, в зв'язку з невизначеністю щодо цих оцінок, реальні результати, враховані в наступних періодах можуть відрізнятися від цих оцінок.</t>
  </si>
  <si>
    <t>Дана фінансова звітність включає оцінки керівництва щодо вартості активів, зобов'язань, сум доходів, видатків та визнання договірних зобов'язань. Ці оцінки, в основному, включають:</t>
  </si>
  <si>
    <t>Відповідно до МСФЗ 36 "Знецінення активів" Компанія переглядає балансову вартість необоротних матеріальних активів (в основному основних засобів) для визначення ознак знецінення.</t>
  </si>
  <si>
    <t>Компанія використовує модель стратегічного планування для розрахунку дисконтованих грошових потоків (використовуючи метод "вартості використання" як визначено в МСФЗ 36) і таким чином оцінює вартість відшкодування основних засобів.</t>
  </si>
  <si>
    <t>Очікувані майбутні грошові потоки відображають довгострокові виробничі плани, складені на основі попереднього досвіду і ринкових очікувань.</t>
  </si>
  <si>
    <t>Застосування МСФЗ 36 вимагає ґрунтовних суджень керівництва щодо оцінок і припущень, щодо майбутніх грошових потоків і коефіцієнта дисконтування. Враховуючи характер поточного глобального економічного оточення, подібні оцінки та припущення мають високий ступінь невизначеності. Тому, інші подібні припущення можуть привести до результату, що може суттєво відрізнятися.</t>
  </si>
  <si>
    <t>Компанія визначає строки корисного використання, не рідше ніж один раз на рік, на кінець кожного фінансового року та, якщо очікуються відхилення від попередніх оцінок, зміни враховуються як зміни в облікових оцінках згідно з МСБО 8 "Облікові політики, зміни в облікових оцінках та помилки". Дані оцінки можуть мати істотний вплив на балансову вартість основних засобів і амортизаційні витрати протягом періоду.</t>
  </si>
  <si>
    <t>(в) Справедлива вартість біологічних активів</t>
  </si>
  <si>
    <t>Оцінка справедливої ​​вартості біологічних активів базується на методі порівняння. На справедливу вартість біологічних активів може вплинути відмінність фактичних майбутніх грошових потоків від поточних прогнозів, які зазвичай виникають як результат суттєвих змін у будь-якому факторі або припущенні, що використане для прогнозування.</t>
  </si>
  <si>
    <t>Керівництво переконане, що розрахунок суми очікуваного відшкодування найбільш чутливий до змін в таких припущеннях, як обсяг виробництва, планування витрат і цін на сільськогосподарську продукцію. Керівництво Компанії вважає, що будь-яка досить імовірна зміна в ключових припущеннях не призведе до суттєвих змін справедливої ​​вартості біологічних активів.</t>
  </si>
  <si>
    <t>Незважаючи на те, що деякі з цих припущень сформовані на основі публічних ринкових даних, більшість з них оцінені, ґрунтуючись на історичних і прогнозованих результатах діяльності Компанії.</t>
  </si>
  <si>
    <t>ВИРУЧКА</t>
  </si>
  <si>
    <t>Виручка від реалізації сільськогосподарської продукції:</t>
  </si>
  <si>
    <t>насіння буряка [і]</t>
  </si>
  <si>
    <t>P.701.01</t>
  </si>
  <si>
    <t>ячмінь</t>
  </si>
  <si>
    <t>P.701.06</t>
  </si>
  <si>
    <t>пшениця</t>
  </si>
  <si>
    <t>P.701.05</t>
  </si>
  <si>
    <t>соняшник</t>
  </si>
  <si>
    <t>P.701.03</t>
  </si>
  <si>
    <t>інші сільськогосподарські культури</t>
  </si>
  <si>
    <t>P.701.20</t>
  </si>
  <si>
    <t>P.701.02</t>
  </si>
  <si>
    <t xml:space="preserve">Виручка від реалізації  послуг  надання  фінансових кредитів       </t>
  </si>
  <si>
    <t>P.703</t>
  </si>
  <si>
    <t>Виручка від реалізації не викупленого майна</t>
  </si>
  <si>
    <t>P.702</t>
  </si>
  <si>
    <t>СОБІВАРТІСТЬ</t>
  </si>
  <si>
    <t>Сировина та матеріали</t>
  </si>
  <si>
    <t>P.901.01</t>
  </si>
  <si>
    <t>P.901.19</t>
  </si>
  <si>
    <t>P.901</t>
  </si>
  <si>
    <t>Заробітна плата та пов'язанні з нею витрати</t>
  </si>
  <si>
    <t>P.901.04</t>
  </si>
  <si>
    <t>P.901.14</t>
  </si>
  <si>
    <t>P.901.15</t>
  </si>
  <si>
    <t>Витрати на охорону</t>
  </si>
  <si>
    <t>P.901.02</t>
  </si>
  <si>
    <t>Амортизація основних засобів</t>
  </si>
  <si>
    <t>P.901.06</t>
  </si>
  <si>
    <t>P.901.20</t>
  </si>
  <si>
    <t>P.902</t>
  </si>
  <si>
    <t>P.901.08</t>
  </si>
  <si>
    <t>P.901.10</t>
  </si>
  <si>
    <t>P.901.12</t>
  </si>
  <si>
    <t>Інші</t>
  </si>
  <si>
    <t>P.90.С</t>
  </si>
  <si>
    <t>ЗАГАЛЬНІ ТА АДМІНІСТРАТИВНІ ВИТРАТИ</t>
  </si>
  <si>
    <t>P.92.01</t>
  </si>
  <si>
    <t>P.92.14</t>
  </si>
  <si>
    <t>P.92.15</t>
  </si>
  <si>
    <t>Консультационі  послуги</t>
  </si>
  <si>
    <t>P.92.12</t>
  </si>
  <si>
    <t>P.92.07</t>
  </si>
  <si>
    <t>Технічне обслуговування</t>
  </si>
  <si>
    <t>P.92.02</t>
  </si>
  <si>
    <t>P.92.09</t>
  </si>
  <si>
    <t>P.92.11</t>
  </si>
  <si>
    <t>Зв'язок</t>
  </si>
  <si>
    <t>P.92.04</t>
  </si>
  <si>
    <t>Відрядження</t>
  </si>
  <si>
    <t>P.92.06</t>
  </si>
  <si>
    <t>Податки, мита та збори</t>
  </si>
  <si>
    <t>P.92.05</t>
  </si>
  <si>
    <t>P.92.20</t>
  </si>
  <si>
    <t>P.92.08</t>
  </si>
  <si>
    <t>ІНШІ ДОХОДИ/(ВИТРАТИ), НЕТТО</t>
  </si>
  <si>
    <t>Інші доходи:</t>
  </si>
  <si>
    <t>Доходи/(витрати) від супутніх послуг, нетто</t>
  </si>
  <si>
    <t>P.714</t>
  </si>
  <si>
    <t>P.945</t>
  </si>
  <si>
    <t>Інші витрати:</t>
  </si>
  <si>
    <t>Визнані штрафи, пені та неустойки</t>
  </si>
  <si>
    <t>P.948</t>
  </si>
  <si>
    <t>Нарахування резерву під сумнівну заборгованість</t>
  </si>
  <si>
    <t>P.944</t>
  </si>
  <si>
    <t>Втрати та знецінення запасів</t>
  </si>
  <si>
    <t>P.947</t>
  </si>
  <si>
    <t>P.949.03_RP</t>
  </si>
  <si>
    <t>P.746</t>
  </si>
  <si>
    <t>P.976</t>
  </si>
  <si>
    <t>P.978</t>
  </si>
  <si>
    <t>P.711</t>
  </si>
  <si>
    <t>P.942</t>
  </si>
  <si>
    <t>P.949</t>
  </si>
  <si>
    <t>ОПОДАТКУВАННЯ</t>
  </si>
  <si>
    <t>ВИТРАТИ НА ЗАРОБІТНУ ПЛАТУ</t>
  </si>
  <si>
    <t>Витрати на оплату праці</t>
  </si>
  <si>
    <t>P.932.01</t>
  </si>
  <si>
    <t>P.949.01</t>
  </si>
  <si>
    <t>Внески на соціальні заходи</t>
  </si>
  <si>
    <t>P.932.02</t>
  </si>
  <si>
    <t>Витрати на створення резерву майбутніх виплат персоналу</t>
  </si>
  <si>
    <t>Заробітна плата виробничого персоналу 
та пов'язані з нею витрати</t>
  </si>
  <si>
    <t>Заробітна плата адміністративного персоналу
та пов'язані з нею витрати</t>
  </si>
  <si>
    <t>Середньооблікова чисельність працівників</t>
  </si>
  <si>
    <t>Витрати на заробітну плату вищого керівництва:</t>
  </si>
  <si>
    <t>ОСНОВНІ ЗАСОБИ</t>
  </si>
  <si>
    <t>,</t>
  </si>
  <si>
    <t>Інструменти, прилади</t>
  </si>
  <si>
    <t>Інші основні засоби</t>
  </si>
  <si>
    <t>Разом</t>
  </si>
  <si>
    <t>N/A</t>
  </si>
  <si>
    <t>A01.01</t>
  </si>
  <si>
    <t>A01.02</t>
  </si>
  <si>
    <t>A01.03</t>
  </si>
  <si>
    <t>A01.04</t>
  </si>
  <si>
    <t>A01.05</t>
  </si>
  <si>
    <t>A01.07</t>
  </si>
  <si>
    <t>A01.06</t>
  </si>
  <si>
    <t>Первісна вартість:</t>
  </si>
  <si>
    <t>Надходження</t>
  </si>
  <si>
    <t>Трансфер</t>
  </si>
  <si>
    <t>Вибуття</t>
  </si>
  <si>
    <t>Накопичена амортизація:</t>
  </si>
  <si>
    <t>Нарахування амортизації</t>
  </si>
  <si>
    <t>Залишкова вартість:</t>
  </si>
  <si>
    <t>Станом на 31 грудня 2011 та 2010 року, та 1 січня 2010 року, основні засоби Компанії виступали забезпеченням довгострокових та короткострокових кредитів та позик (Примітки 19, 20). Балансова вартість основних засобів, які виступали в якості забезпечення була представлена наступним чином:</t>
  </si>
  <si>
    <t>Послідовно аналізуючи зазначені згідно МСФЗ 36 "Знецінення активів" ознаки можливої наявності знецінення, необхідно зазначити наступне: активи Компанії нормально експлуатуються, знаходяться в доброму стані, обладнання своєчасно обслуговується. Таким чином, немає підстав вважати, що вартість комплексу активів знизилась більше, ніж передбачалось, виходячи з нормальних умов його експлуатації.</t>
  </si>
  <si>
    <t>АВАНСИ ВИДАНІ ТА ІНШІ ОБОРОТНІ АКТИВИ</t>
  </si>
  <si>
    <t>Аванси видані</t>
  </si>
  <si>
    <t>A.371</t>
  </si>
  <si>
    <t>Інші оборотні активи</t>
  </si>
  <si>
    <t>A.377</t>
  </si>
  <si>
    <t>A.377.01</t>
  </si>
  <si>
    <t>A.651.01</t>
  </si>
  <si>
    <t>A.652</t>
  </si>
  <si>
    <t>A.641.02</t>
  </si>
  <si>
    <t>ГРОШОВІ КОШТИ ТА ЇХ ЕКВІВАЛЕНТИ</t>
  </si>
  <si>
    <t>Грошові кошти на банківських рахунках</t>
  </si>
  <si>
    <t>A.311</t>
  </si>
  <si>
    <t>A.301</t>
  </si>
  <si>
    <t>СТАТУТНИЙ КАПІТАЛ</t>
  </si>
  <si>
    <t>Розмір статутного капіталу</t>
  </si>
  <si>
    <t>%</t>
  </si>
  <si>
    <t>Учасник</t>
  </si>
  <si>
    <t>Приватне ТОВ "Голден Клаб Лімітед"</t>
  </si>
  <si>
    <t>ТОВ "Євролуч"</t>
  </si>
  <si>
    <t>Станом на 1 січня 2010 року, кредити та позики які залишилися до погашення Компанією фінансовим установам та іншим сторонам були представлені наступним чином:</t>
  </si>
  <si>
    <t>Кредитор</t>
  </si>
  <si>
    <t>Вид позики</t>
  </si>
  <si>
    <t>Дата погашення</t>
  </si>
  <si>
    <t>Відсоткова ставка</t>
  </si>
  <si>
    <t>Сума забор-гованості</t>
  </si>
  <si>
    <t>Поточна частина заборгованості</t>
  </si>
  <si>
    <t>Novelon Ltd</t>
  </si>
  <si>
    <t>кредитна лінія</t>
  </si>
  <si>
    <t>євро</t>
  </si>
  <si>
    <t>ПАТ "Приватбанк"</t>
  </si>
  <si>
    <t>долар США</t>
  </si>
  <si>
    <t>Станом на 31 грудня 2011 та 2010 року, та 1 січня 2010 року, зобов'язання за довгостроковими кредитами та позиками були забезпечені заставним майном: основними засобами (Примітка 12).</t>
  </si>
  <si>
    <t>КОРОТКОСРОКОВІ КРЕДИТИ ТА ПОЗИКИ</t>
  </si>
  <si>
    <t>Станом на 31 грудня 2011 та 2010 року, та 1 січня 2010 року, короткострокові кредити та позики були представлені наступним чином:</t>
  </si>
  <si>
    <t>L06.02</t>
  </si>
  <si>
    <t>Станом на 31 грудня 2011 року, короткострокові кредити та позики які залишилися до погашення Компанією фінансовим установам та іншим сторонам були представлені наступним чином:</t>
  </si>
  <si>
    <t>Дата 
погашення</t>
  </si>
  <si>
    <t>Сума заборгованості</t>
  </si>
  <si>
    <t>ПАТ "Райффайзен 
Банк Аваль"</t>
  </si>
  <si>
    <t>українська гривня</t>
  </si>
  <si>
    <t>Станом на 31 грудня 2010 року, короткострокові кредити та позики які залишилися до погашення Компанією фінансовим установам та іншим сторонам були представлені наступним чином:</t>
  </si>
  <si>
    <t>ВАТ "Ощадбанк"</t>
  </si>
  <si>
    <t>Станом на 1 січня 2010 року, короткострокові кредити та позики які залишилися до погашення Компанією фінансовим установам та іншим сторонам були представлені наступним чином:</t>
  </si>
  <si>
    <t>Аграрний Фонд</t>
  </si>
  <si>
    <t>кредит</t>
  </si>
  <si>
    <t>Станом на 31 грудня 2011 та 2010 року, та 1 січня 2010 року, зобов'язання за короткостроковими кредитами та позиками були забезпечені заставним майном: основними засобами (Примітка 12).</t>
  </si>
  <si>
    <t>L.631</t>
  </si>
  <si>
    <t>L.632</t>
  </si>
  <si>
    <t>Інші короткострокові зобов'язання</t>
  </si>
  <si>
    <t>L.685.01</t>
  </si>
  <si>
    <t>L.661</t>
  </si>
  <si>
    <t>L.685.03</t>
  </si>
  <si>
    <t>L.685</t>
  </si>
  <si>
    <t>КОНТРАКТНІ ТА УМОВНІ ЗОБОВ'ЯЗАННЯ</t>
  </si>
  <si>
    <t>(а) Економічна ситуація</t>
  </si>
  <si>
    <t>Операційна діяльність Компанії здійснюється в Україні. Закони та інші нормативні акти, що впливають на діяльність підприємств в Україні, можуть підлягати змінам за невеликі проміжки часу. Як результат цього, активи та операційна діяльність Компанії можуть підлягати ризику в разі будь-яких несприятливих змін у політичному та економічному середовищі.</t>
  </si>
  <si>
    <t>(б) Оподаткування</t>
  </si>
  <si>
    <t>Внаслідок нестабільного економічного середовища в Україні податкові органи приділяють все більше уваги суб'єктам підприємницької діяльності. У зв'язку з цим, місцеве та загальнодержавне податкове  законодавство постійно змінюються. Положення різних законодавчих та нормативно-правових актів не завжди чітко сформульовані і їх інтерпретація залежить від думки посадових осіб податкових органів та Міністерства фінансів. Нерідкі випадки розбіжності у думках між місцевими, регіональними та республіканськими податковими органами. У відповідних нормативно-правових актах, законах, постановах існує режим штрафів та пені за заявлені чи виявлені порушення. Штрафні санкції включають конфіскацію спірної суми (за порушення законодавства), а також штрафи. Ці факти створюють податкові ризики, значно перевищуючі ризики в країнах з більш розвинутими податковими системами.</t>
  </si>
  <si>
    <t>(в) Пенсійні та інші зобов'язання, пов'язані з виплатою заробітної плати співробітникам</t>
  </si>
  <si>
    <t>(г) Юридичні питання</t>
  </si>
  <si>
    <t>У ході своєї звичайної господарської діяльності Компанія бере участь у судових розглядах та до неї висуваються різні претензії.</t>
  </si>
  <si>
    <t>Станом на звітні дати Компанія не виступала стороною в жодному судовому процесі.</t>
  </si>
  <si>
    <t>ПОВ'ЯЗАНІ СТОРОНИ</t>
  </si>
  <si>
    <t>Для цілей даної фінансової звітності, сторона вважається пов'язаною, якщо одна компанія здатна контролювати іншу або має значний вплив на неї при прийнятті фінансових чи операційних рішень, що визначено МСБО 24 "Розкриття інформації щодо пов'язаних сторін". При визначенні, чи є компанія пов'язаною стороною з Компанією, основна увага приділяється сутності відносин, а не їх юридичній формі.</t>
  </si>
  <si>
    <t>Пов'язані сторони можуть вступати в операції, що неприпустимі для непов'язаних сторін. Операції між пов'язаними сторонами можуть здійснюватися на умовах, які значно відрізняються від умов здійснення операцій між непов'язаними сторонами.</t>
  </si>
  <si>
    <t>Терміни та умови операцій з пов'язаними сторонами</t>
  </si>
  <si>
    <t xml:space="preserve">Залишки заборгованості на кінець року не захищені забезпеченням, на них не нараховуються відсотки та їх погашення відбувається в грошовій формі. Гарантій пов'язаній стороні надано не було. </t>
  </si>
  <si>
    <t>ПОЛІТИКА УПРАВЛІННЯ ФІНАНСОВИМИ РИЗИКАМИ</t>
  </si>
  <si>
    <t>Управління ризиками відіграє важливу роль в операційній діяльності Компанії, яке здійснюється в ході постійного процесу оцінки та визначення рівнів ризику, та засновано на системі внутрішнього контролю. В ході процесу стратегічного планування, керівництво Компанії також оцінює ризики ведення діяльності, такі як зміна середовища, технології або зміна галузі. Основні ризики, властиві діяльності Компанії, включають кредитні ризики, ризик ліквідності та ринковий ризик. Керівництво Компанії розглядає і затверджує принципи управління кожним із зазначених ризиків.</t>
  </si>
  <si>
    <t>а)  Управління капіталом</t>
  </si>
  <si>
    <t>Основна мета управління капіталом Компанії полягає у підтримці можливості продовження її діяльності і розширення бізнесу, а також максимізації прибутковості власного капіталу через підтримку оптимального балансу власного та позикового капіталу.</t>
  </si>
  <si>
    <t xml:space="preserve">Компанія здійснює контроль за капіталом за допомогою коефіцієнта фінансового важеля, який розраховується шляхом ділення чистої заборгованості на суму капіталу та чистої заборгованості. </t>
  </si>
  <si>
    <t>Довгострокові кредити та позики</t>
  </si>
  <si>
    <t>б)  Ринковий ризик</t>
  </si>
  <si>
    <t>Ринковий ризик - це ризик того, що справедлива вартість майбутніх грошових потоків за фінансовими інструментами буде коливатися внаслідок зміни ринкових цін. Ринкові ціни включають в себе наступні ризики: валютний ризик, ризик зміни відсоткової ставки, інший ціновий ризик.</t>
  </si>
  <si>
    <t>Ризик процентної ставки</t>
  </si>
  <si>
    <t>Ризик зміни процентної ставки виникає внаслідок можливості того, що зміни в процентних ставках негативно вплинуть на майбутні грошові потоки або справедливу вартість фінансових інструментів.</t>
  </si>
  <si>
    <t>Валютний ризик</t>
  </si>
  <si>
    <t>Валютний ризик виникає внаслідок можливості того, що зміни курсів валют будуть здійснювати негативний вплив на майбутні грошові потоки чи справедливу вартість фінансових інструментів.</t>
  </si>
  <si>
    <t>в) Ризик ліквідності</t>
  </si>
  <si>
    <t>Ризик ліквідності - це ризик того, що Компанія не зможе виконати свої зобов'язання з виплат при настанні строку їх погашення у звичайних або непередбачених умовах.</t>
  </si>
  <si>
    <t>До 3 місяців</t>
  </si>
  <si>
    <t>Від 3 до 12 місяців</t>
  </si>
  <si>
    <t>Фінансові активи:</t>
  </si>
  <si>
    <t>Торгова дебіторська заборгованість</t>
  </si>
  <si>
    <t>Фінансові зобов'язання:</t>
  </si>
  <si>
    <t>Інша кредиторська заборгованість</t>
  </si>
  <si>
    <t>Нетто позиція</t>
  </si>
  <si>
    <t>в) Кредитний ризик</t>
  </si>
  <si>
    <t>Фінансові інструменти, за якими у Компанії може з'явитися значний кредитний ризик, представлені, в основному, торговою та іншою дебіторською заборгованістю, а також грошовими коштами та їх еквівалентами. Грошові кошти розміщуються в фінансових установах, які на період розміщення вважаються достатньо надійними. Керівництво застосовує кредитну політику та здійснює постійний контроль за схильністю до кредитного ризику.</t>
  </si>
  <si>
    <t xml:space="preserve">В наступній таблиці представлено максимальний розмір кредитного ризику за компонентами балансу. Максимальний розмір ризику представлено у загальній сумі, не враховуючи вплив зниження ризику внаслідок використання генеральних угод про взаємозалік та угод про надання забезпечення. </t>
  </si>
  <si>
    <t>Загальний розмір кредитного ризику</t>
  </si>
  <si>
    <t>СПРАВЕДЛИВА ВАРТІСТЬ ФІНАНСОВИХ ІНСТРУМЕНТІВ</t>
  </si>
  <si>
    <t>ПОДІЇ ПІСЛЯ ЗВІТНОГО ПЕРІОДУ</t>
  </si>
  <si>
    <t>Проверка 2011</t>
  </si>
  <si>
    <t>Cod  IFRS 1</t>
  </si>
  <si>
    <t>Cod  IFRS 2</t>
  </si>
  <si>
    <t>Cod  IFRS 3</t>
  </si>
  <si>
    <t>ПТ ЛОМБАРД "МЕРКУРІЙ"</t>
  </si>
  <si>
    <t>Фінансова звітність</t>
  </si>
  <si>
    <t>Заява керівництва про відповідальність</t>
  </si>
  <si>
    <t>Звіт про фінансове положення</t>
  </si>
  <si>
    <t>Звіт про сукупний дохід</t>
  </si>
  <si>
    <t>Звіт про зміни у власному капіталі</t>
  </si>
  <si>
    <t>Звіт про рух грошових коштів</t>
  </si>
  <si>
    <t>Примітки до фінансової звітності:</t>
  </si>
  <si>
    <t>1.</t>
  </si>
  <si>
    <t>2.</t>
  </si>
  <si>
    <t>Додатковий капітал</t>
  </si>
  <si>
    <t>Резервний капітал</t>
  </si>
  <si>
    <t>На 31 грудня 2018 року</t>
  </si>
  <si>
    <t>2.10</t>
  </si>
  <si>
    <t>2.11</t>
  </si>
  <si>
    <t>2.13</t>
  </si>
  <si>
    <t>2.16</t>
  </si>
  <si>
    <t>2.17</t>
  </si>
  <si>
    <t>2.18</t>
  </si>
  <si>
    <t>Грошові кошті</t>
  </si>
  <si>
    <t>2.12</t>
  </si>
  <si>
    <t>Оборотно-сальдова відомість</t>
  </si>
  <si>
    <t>за 2019 р.</t>
  </si>
  <si>
    <t>Рахунок</t>
  </si>
  <si>
    <t>Сальдо на початок періоду</t>
  </si>
  <si>
    <t>Обороти за період</t>
  </si>
  <si>
    <t>Сальдо на кінець періоду</t>
  </si>
  <si>
    <t>Код</t>
  </si>
  <si>
    <t>Назва</t>
  </si>
  <si>
    <t>Дебет</t>
  </si>
  <si>
    <t>Кредит</t>
  </si>
  <si>
    <t>10</t>
  </si>
  <si>
    <t xml:space="preserve"> </t>
  </si>
  <si>
    <t>104</t>
  </si>
  <si>
    <t>106</t>
  </si>
  <si>
    <t>Інструменти, прилади та інвентар</t>
  </si>
  <si>
    <t>11</t>
  </si>
  <si>
    <t>Інші необоротні матеріальні активи</t>
  </si>
  <si>
    <t>112</t>
  </si>
  <si>
    <t>Малоцінні необоротні матеріальні активи</t>
  </si>
  <si>
    <t>12</t>
  </si>
  <si>
    <t>127</t>
  </si>
  <si>
    <t>Інші нематеріальні активи</t>
  </si>
  <si>
    <t>13</t>
  </si>
  <si>
    <t>Знос (амортизацiя) необоротних активів</t>
  </si>
  <si>
    <t>131</t>
  </si>
  <si>
    <t>Знос основних засобів</t>
  </si>
  <si>
    <t>132</t>
  </si>
  <si>
    <t>Знос інших необоротних матеріальних активів</t>
  </si>
  <si>
    <t>133</t>
  </si>
  <si>
    <t>Накопичена амортизацiя нематеріальних активів</t>
  </si>
  <si>
    <t>15</t>
  </si>
  <si>
    <t>Капітальні інвестиції</t>
  </si>
  <si>
    <t>153</t>
  </si>
  <si>
    <t>Придбання (виготовлення) інших необоротних матеріальних активів</t>
  </si>
  <si>
    <t>1531</t>
  </si>
  <si>
    <t>Придбання  інших необоротних матеріальних активів</t>
  </si>
  <si>
    <t>154</t>
  </si>
  <si>
    <t>Придбання (створення) нематеріальних активів</t>
  </si>
  <si>
    <t>1541</t>
  </si>
  <si>
    <t>Придбання нематеріальних активів</t>
  </si>
  <si>
    <t>22</t>
  </si>
  <si>
    <t>Малоцінні та швидкозношувані предмети</t>
  </si>
  <si>
    <t>28</t>
  </si>
  <si>
    <t>Товари</t>
  </si>
  <si>
    <t>281</t>
  </si>
  <si>
    <t>Товари на складі</t>
  </si>
  <si>
    <t>30</t>
  </si>
  <si>
    <t>Готівка</t>
  </si>
  <si>
    <t>301</t>
  </si>
  <si>
    <t>Готівка в національній валюті</t>
  </si>
  <si>
    <t>31</t>
  </si>
  <si>
    <t>Рахунки в банках</t>
  </si>
  <si>
    <t>311</t>
  </si>
  <si>
    <t>Поточні рахунки в національній валюті</t>
  </si>
  <si>
    <t>33</t>
  </si>
  <si>
    <t>Інші кошти</t>
  </si>
  <si>
    <t>333</t>
  </si>
  <si>
    <t>Грошові кошти в дорозі в національній валюті</t>
  </si>
  <si>
    <t>36</t>
  </si>
  <si>
    <t>Розрахунки з покупцями та замовниками</t>
  </si>
  <si>
    <t>361</t>
  </si>
  <si>
    <t>Розрахунки з вітчизняними покупцями</t>
  </si>
  <si>
    <t>37</t>
  </si>
  <si>
    <t>Розрахунки з різними дебіторами</t>
  </si>
  <si>
    <t>372</t>
  </si>
  <si>
    <t>Розрахунки з підзвітними особами</t>
  </si>
  <si>
    <t>3721</t>
  </si>
  <si>
    <t>Розрахунки з підзвітними особами в національній валюті</t>
  </si>
  <si>
    <t>373</t>
  </si>
  <si>
    <t>Розрахунки за нарахованими доходами</t>
  </si>
  <si>
    <t>374</t>
  </si>
  <si>
    <t>Розрахунки за претензіями</t>
  </si>
  <si>
    <t>377</t>
  </si>
  <si>
    <t>Розрахунки з іншими дебіторами</t>
  </si>
  <si>
    <t>3772</t>
  </si>
  <si>
    <t>Розрахунки з іншими дебіторами (у розрізі замовлень)</t>
  </si>
  <si>
    <t>39</t>
  </si>
  <si>
    <t>Витрати майбутніх періодів</t>
  </si>
  <si>
    <t>40</t>
  </si>
  <si>
    <t>Зареєстрований (пайовий) капітал</t>
  </si>
  <si>
    <t>401</t>
  </si>
  <si>
    <t>42</t>
  </si>
  <si>
    <t>425</t>
  </si>
  <si>
    <t>Інший додатковий капітал</t>
  </si>
  <si>
    <t>43</t>
  </si>
  <si>
    <t>44</t>
  </si>
  <si>
    <t>Нерозподілені прибутки (непокриті збитки)</t>
  </si>
  <si>
    <t>441</t>
  </si>
  <si>
    <t>Прибуток нерозподілений</t>
  </si>
  <si>
    <t>442</t>
  </si>
  <si>
    <t>Непокриті збитки</t>
  </si>
  <si>
    <t>47</t>
  </si>
  <si>
    <t>Забезпечення майбутніх витрат і платежів</t>
  </si>
  <si>
    <t>471</t>
  </si>
  <si>
    <t>Забезпечення виплат відпусток</t>
  </si>
  <si>
    <t>63</t>
  </si>
  <si>
    <t>Розрахунки з постачальниками та підрядниками</t>
  </si>
  <si>
    <t>631</t>
  </si>
  <si>
    <t>Розрахунки з вітчизняними постачальниками</t>
  </si>
  <si>
    <t>64</t>
  </si>
  <si>
    <t>Розрахунки за податками й платежами</t>
  </si>
  <si>
    <t>641</t>
  </si>
  <si>
    <t>Розрахунки за податками</t>
  </si>
  <si>
    <t>6411</t>
  </si>
  <si>
    <t>Прибутковий податок</t>
  </si>
  <si>
    <t>6416</t>
  </si>
  <si>
    <t>Податок на прибуток</t>
  </si>
  <si>
    <t>642</t>
  </si>
  <si>
    <t>Розрахунки за обов’язковими платежами</t>
  </si>
  <si>
    <t>6426</t>
  </si>
  <si>
    <t>Розрахунки по інших обов'язкових платежах</t>
  </si>
  <si>
    <t>645</t>
  </si>
  <si>
    <t>Розрах. за признач штрафами  за порушення з-ну  про РРО</t>
  </si>
  <si>
    <t>6451</t>
  </si>
  <si>
    <t>65</t>
  </si>
  <si>
    <t>Розрахунки за страхуванням</t>
  </si>
  <si>
    <t>651</t>
  </si>
  <si>
    <t>За розрахунками із загальнооб. держ. соц. страхування</t>
  </si>
  <si>
    <t>66</t>
  </si>
  <si>
    <t>Розрахунки за виплатами працівникам</t>
  </si>
  <si>
    <t>661</t>
  </si>
  <si>
    <t>Розрахунки за заробітною платою</t>
  </si>
  <si>
    <t>68</t>
  </si>
  <si>
    <t>Розрахунки за різними операціями</t>
  </si>
  <si>
    <t>685</t>
  </si>
  <si>
    <t>Розрахунки з іншими кредиторами</t>
  </si>
  <si>
    <t>6852</t>
  </si>
  <si>
    <t>Розрахунки з іншими кредиторами (у розрізі замовлень)</t>
  </si>
  <si>
    <t>70</t>
  </si>
  <si>
    <t>Доходи від реалізації</t>
  </si>
  <si>
    <t>702</t>
  </si>
  <si>
    <t>Дохід від реалізації товарів</t>
  </si>
  <si>
    <t>703</t>
  </si>
  <si>
    <t>Дохід від реалізації робіт і послуг</t>
  </si>
  <si>
    <t>79</t>
  </si>
  <si>
    <t>Фінансові результати</t>
  </si>
  <si>
    <t>791</t>
  </si>
  <si>
    <t>Результат операцiйної діяльності</t>
  </si>
  <si>
    <t>90</t>
  </si>
  <si>
    <t>Собівартість реалізації</t>
  </si>
  <si>
    <t>902</t>
  </si>
  <si>
    <t>Собівартість реалізованих товарів</t>
  </si>
  <si>
    <t>903</t>
  </si>
  <si>
    <t>Собівартість реалізованих робіт і послуг</t>
  </si>
  <si>
    <t>92</t>
  </si>
  <si>
    <t>Адміністративні витрати</t>
  </si>
  <si>
    <t>94</t>
  </si>
  <si>
    <t>Інші витрати операційної діяльності</t>
  </si>
  <si>
    <t>948</t>
  </si>
  <si>
    <t>Визнані штрафи, пені, неустойки</t>
  </si>
  <si>
    <t>949</t>
  </si>
  <si>
    <t>A/L/E/P</t>
  </si>
  <si>
    <t>L1</t>
  </si>
  <si>
    <t>L2</t>
  </si>
  <si>
    <t>L3</t>
  </si>
  <si>
    <t>*</t>
  </si>
  <si>
    <t>Acc IFRS</t>
  </si>
  <si>
    <t>BS/PL Account</t>
  </si>
  <si>
    <t>BS/PL Note</t>
  </si>
  <si>
    <t>MAP</t>
  </si>
  <si>
    <t>BS/PL Line</t>
  </si>
  <si>
    <t>A</t>
  </si>
  <si>
    <t>Основные средства (NEED RJU)</t>
  </si>
  <si>
    <t>Основные средства</t>
  </si>
  <si>
    <t>1</t>
  </si>
  <si>
    <t>A02</t>
  </si>
  <si>
    <t>Инвестиционная собственность</t>
  </si>
  <si>
    <t>A02.</t>
  </si>
  <si>
    <t>Земельные участки</t>
  </si>
  <si>
    <t>2</t>
  </si>
  <si>
    <t>Капитальные затраты на улучшение земель</t>
  </si>
  <si>
    <t>3</t>
  </si>
  <si>
    <t>Здания и сооружения</t>
  </si>
  <si>
    <t>4</t>
  </si>
  <si>
    <t>Машины и оборудование</t>
  </si>
  <si>
    <t>_Ag</t>
  </si>
  <si>
    <t>Сельскохозяйственная техника и оборудование</t>
  </si>
  <si>
    <t>_Comp</t>
  </si>
  <si>
    <t>Офисное оборудование</t>
  </si>
  <si>
    <t>5</t>
  </si>
  <si>
    <t>Транспортные средства</t>
  </si>
  <si>
    <t>6</t>
  </si>
  <si>
    <t>Инструменты, устройства и инвентарь</t>
  </si>
  <si>
    <t>9</t>
  </si>
  <si>
    <t>Прочие основные средства</t>
  </si>
  <si>
    <t>Прочие необоротные материальные активы (NEED RJU)</t>
  </si>
  <si>
    <t>Библиотечные фонды</t>
  </si>
  <si>
    <t>МНМА</t>
  </si>
  <si>
    <t>Временные (нетитульные) сооружения</t>
  </si>
  <si>
    <t>Природные ресурсы</t>
  </si>
  <si>
    <t>Инвентарная тара</t>
  </si>
  <si>
    <t>Предметы проката</t>
  </si>
  <si>
    <t>7</t>
  </si>
  <si>
    <t>Прочие НМА</t>
  </si>
  <si>
    <t>Нематериальные активы (NEED RJU)</t>
  </si>
  <si>
    <t>Нематериальные активы (brought forward)</t>
  </si>
  <si>
    <t>Нематериальные активы</t>
  </si>
  <si>
    <t>Права на использование природных ресурсов</t>
  </si>
  <si>
    <t>Права на использование имущества</t>
  </si>
  <si>
    <t>Права на коммерческие обозначения</t>
  </si>
  <si>
    <t>Права на объекты промышленной собственности</t>
  </si>
  <si>
    <t>Авторское право и смежные с ним права</t>
  </si>
  <si>
    <t>Прочие нма (brought forward)</t>
  </si>
  <si>
    <t>01</t>
  </si>
  <si>
    <t>Прочие нма (movement for period)</t>
  </si>
  <si>
    <t>Нематериальные активы (movement for period)</t>
  </si>
  <si>
    <t>Накопленная амортизация (NEED RJU)</t>
  </si>
  <si>
    <t>Накопленная амортизация ОС (NEED RJU)</t>
  </si>
  <si>
    <t>Накопленная амортизация ОС (улучшение земель)</t>
  </si>
  <si>
    <t>02</t>
  </si>
  <si>
    <t>Накопленная амортизация ОС (здания и сооружения)</t>
  </si>
  <si>
    <t>03</t>
  </si>
  <si>
    <t>Накопленная амортизация ОС (машины и оборудование)</t>
  </si>
  <si>
    <t>03_Ag</t>
  </si>
  <si>
    <t>Накопленная амортизация ОС (с/х техника и оборудование)</t>
  </si>
  <si>
    <t>03_Comp</t>
  </si>
  <si>
    <t>Накопленная амортизация ОС (офисное оборудование)</t>
  </si>
  <si>
    <t>04</t>
  </si>
  <si>
    <t>Накопленная амортизация ОС (транспортные средства)</t>
  </si>
  <si>
    <t>05</t>
  </si>
  <si>
    <t>Накопленная амортизация ОС (инструменты, приборы, инвентарь)</t>
  </si>
  <si>
    <t>06</t>
  </si>
  <si>
    <t>Накопленная амортизация ОС (другие ОС)</t>
  </si>
  <si>
    <t>Накопленная амортизация прочие НМА (NEED RJU)</t>
  </si>
  <si>
    <t>Накопленная амортизация НА (brought forward)</t>
  </si>
  <si>
    <t>Накопленная амортизация НА (movement for period)</t>
  </si>
  <si>
    <t>A.1</t>
  </si>
  <si>
    <t>Технический счет Первон ст-ть ОС БУ (текущий год) UAH</t>
  </si>
  <si>
    <t>Основные средства (Техника)</t>
  </si>
  <si>
    <t>A.2</t>
  </si>
  <si>
    <t>Технический счет Первон ст-ть ОС БУ (на входящую дату) UAH</t>
  </si>
  <si>
    <t>A.3</t>
  </si>
  <si>
    <t>Технический счет Первон ст-ть ОС МСФО (текущий год) USD</t>
  </si>
  <si>
    <t>A.4</t>
  </si>
  <si>
    <t>Технический счет Первон ст-ть ОС МСФО (на входящую дату) USD</t>
  </si>
  <si>
    <t>Технический счет сторно амортизации БУ с 13 счета (текущий год) UAH</t>
  </si>
  <si>
    <t>Технический счет сторно амортизации БУ с 13 счета (на входящую дату) UAH</t>
  </si>
  <si>
    <t>Технический счет постановка накоп аморт на баланс (на входящую дату) USD</t>
  </si>
  <si>
    <t>P</t>
  </si>
  <si>
    <t>Технический счет сторно амортизации БУ с  Расходов</t>
  </si>
  <si>
    <t>Долгосрочные финансовые инвестиции</t>
  </si>
  <si>
    <t>Долгосрочные финансовые активы (инвестиции)</t>
  </si>
  <si>
    <t>Инвестиции связанным сторонам по методу учета участия в капитале</t>
  </si>
  <si>
    <t>Инвестии в дочерние компании</t>
  </si>
  <si>
    <t>Инвестии в ассоциированные компании</t>
  </si>
  <si>
    <t>Инвестии в совместные компании</t>
  </si>
  <si>
    <t>Другие инвестиции</t>
  </si>
  <si>
    <t>Инвестиции несвязанным сторонам</t>
  </si>
  <si>
    <t>Капитальные инвестиции</t>
  </si>
  <si>
    <t>Незавершенное строительство</t>
  </si>
  <si>
    <t>Капитальное строительство</t>
  </si>
  <si>
    <t>Приобретение (создание) ОС</t>
  </si>
  <si>
    <t>Приобретение (создание) НМА</t>
  </si>
  <si>
    <t>Приобретение (создание) НА</t>
  </si>
  <si>
    <t>Отложенные налоговые активы</t>
  </si>
  <si>
    <t>ОНА (через Совокупный доход)</t>
  </si>
  <si>
    <t>ОНА (через Прочий совокупный доход)</t>
  </si>
  <si>
    <t>Долгосрочна дебиторская задолженность</t>
  </si>
  <si>
    <t>Прочие необоротные активы</t>
  </si>
  <si>
    <t>Предоплаты за ОС</t>
  </si>
  <si>
    <t>Товарно-материальные запасы</t>
  </si>
  <si>
    <t>Прочие запасы (NEED RJU)</t>
  </si>
  <si>
    <t>Материально-производственные запасы</t>
  </si>
  <si>
    <t>Сырье и материалы</t>
  </si>
  <si>
    <t>Сырье</t>
  </si>
  <si>
    <t>Покупные полуфабрикаты и комплектующие изделия</t>
  </si>
  <si>
    <t>Топливо</t>
  </si>
  <si>
    <t>Компоненты и прочие запасы</t>
  </si>
  <si>
    <t>Тара и тарные материалы</t>
  </si>
  <si>
    <t>Строительные материалы</t>
  </si>
  <si>
    <t>Строительные материалы (Резерв под обесценение)</t>
  </si>
  <si>
    <t>Материалы, переданные в переработку</t>
  </si>
  <si>
    <t>Запасные части</t>
  </si>
  <si>
    <t>Запасные части (Резерв под обесценение)</t>
  </si>
  <si>
    <t>8</t>
  </si>
  <si>
    <t>Материалы сельскохозяйственного назначения</t>
  </si>
  <si>
    <t>Прочие запасы</t>
  </si>
  <si>
    <t>Текущие биологические активы</t>
  </si>
  <si>
    <t>Текущие БА (растениеводство)</t>
  </si>
  <si>
    <t>МШП</t>
  </si>
  <si>
    <t>Незавершенное производство</t>
  </si>
  <si>
    <t>Производство 1</t>
  </si>
  <si>
    <t>Производство 2</t>
  </si>
  <si>
    <t>Производство 3</t>
  </si>
  <si>
    <t>Брак в производстве</t>
  </si>
  <si>
    <t>Полуфабрикаты</t>
  </si>
  <si>
    <t>Готовая продукция</t>
  </si>
  <si>
    <t>Готовая продукция (Резерв под обесценение)</t>
  </si>
  <si>
    <t>Готовая продукция (Нереализованная прибыль) IG</t>
  </si>
  <si>
    <t>Сельхоз продукция</t>
  </si>
  <si>
    <t>Товары</t>
  </si>
  <si>
    <t>Товары на складе</t>
  </si>
  <si>
    <t>Товары в торговле</t>
  </si>
  <si>
    <t>Товары на комиссие</t>
  </si>
  <si>
    <t>Тара под товары</t>
  </si>
  <si>
    <t>Торговая наценка</t>
  </si>
  <si>
    <t>Необоротные активы и группа выбытия, для продажи</t>
  </si>
  <si>
    <t>Товары (Резерв под обесценение)</t>
  </si>
  <si>
    <t>Товары (Нереализованная прибыль) IG</t>
  </si>
  <si>
    <t>Касcа (NEED RJU)</t>
  </si>
  <si>
    <t>Денежные средства в кассе и на банк счетах</t>
  </si>
  <si>
    <t>Денежные средства и их эквиваленты</t>
  </si>
  <si>
    <t>Касса в нац валюте</t>
  </si>
  <si>
    <t>Касса в ин валюте</t>
  </si>
  <si>
    <t>Касса в ин валюте (USD)</t>
  </si>
  <si>
    <t>Касса в ин валюте (EUR)</t>
  </si>
  <si>
    <t>Касса в ин валюте (RUR)</t>
  </si>
  <si>
    <t>Текущие счета в нац валюте (NEED RJU)</t>
  </si>
  <si>
    <t>Текущие счета в нац валюте</t>
  </si>
  <si>
    <t>Текущие счета в ин валюте</t>
  </si>
  <si>
    <t>Текущие счета в ин валюте (USD)</t>
  </si>
  <si>
    <t>Текущие счета в ин валюте (EUR)</t>
  </si>
  <si>
    <t>Текущие счета в ин валюте (RUR)</t>
  </si>
  <si>
    <t>Депозитные счета</t>
  </si>
  <si>
    <t>Краткосрочные депозиты (до 3-х месяцев)</t>
  </si>
  <si>
    <t xml:space="preserve">Депозитные счета (до 3-х месяцев), (USD) </t>
  </si>
  <si>
    <t xml:space="preserve">Депозитные счета (до 3-х месяцев), (EUR) </t>
  </si>
  <si>
    <t xml:space="preserve">Депозитные счета (до 3-х месяцев), (RUR) </t>
  </si>
  <si>
    <t xml:space="preserve">Депозитные счета (от 3-х до 12 месяцев), (USD) </t>
  </si>
  <si>
    <t>Краткосрочные финансовые активы (инвестиции)</t>
  </si>
  <si>
    <t xml:space="preserve">Депозитные счета (от 3-х до 12 месяцев), (EUR) </t>
  </si>
  <si>
    <t xml:space="preserve">Депозитные счета (от 3-х до 12 месяцев), (RUR) </t>
  </si>
  <si>
    <t>07</t>
  </si>
  <si>
    <t xml:space="preserve">Депозитные счета (от 12-ти месяцев), (USD) </t>
  </si>
  <si>
    <t>08</t>
  </si>
  <si>
    <t xml:space="preserve">Депозитные счета (от 12-ти месяцев), (EUR) </t>
  </si>
  <si>
    <t>09</t>
  </si>
  <si>
    <t xml:space="preserve">Депозитные счета (от 12-ти месяцев), (RUR) </t>
  </si>
  <si>
    <t>Прочие денежные средства</t>
  </si>
  <si>
    <t>Денежные документы в нац валюте</t>
  </si>
  <si>
    <t>Денежные документы в ин валюте</t>
  </si>
  <si>
    <t>Денежные средства в пути в нац валюте</t>
  </si>
  <si>
    <t>Денежные средства в пути</t>
  </si>
  <si>
    <t>Денежные средства в пути в ин валюте</t>
  </si>
  <si>
    <t>Краткосрочные векселя полученные</t>
  </si>
  <si>
    <t>Прочая дебиторская задолженность</t>
  </si>
  <si>
    <t>Краткосрочные векселя полученные в нац валюте</t>
  </si>
  <si>
    <t>Краткосрочные векселя полученные в ин валюте</t>
  </si>
  <si>
    <t>Текущие финансовые инвестиции</t>
  </si>
  <si>
    <t>Эквиваленты денежных средств</t>
  </si>
  <si>
    <t>Другие текущие финансовые инвестиции</t>
  </si>
  <si>
    <t>Расчеты с покупателями и заказчиками</t>
  </si>
  <si>
    <t>Торговая дебиторская задолженность</t>
  </si>
  <si>
    <t>L</t>
  </si>
  <si>
    <t>Авансы полученные</t>
  </si>
  <si>
    <t>Авансы полученные и прочие обязательства</t>
  </si>
  <si>
    <t>RP</t>
  </si>
  <si>
    <t>Торговая дебиторская задолженность (RP)</t>
  </si>
  <si>
    <t>Торговая дебиторская задолженность (факторинг)</t>
  </si>
  <si>
    <t>Расчеты с иностраными покупателями</t>
  </si>
  <si>
    <t>Расчеты с иностраными покупателями (RP)</t>
  </si>
  <si>
    <t>Расчеты с иностраными покупателями (факторинг)</t>
  </si>
  <si>
    <t>Расчеты с участниками ПФГ</t>
  </si>
  <si>
    <t>Расчеты с разными дебиторами</t>
  </si>
  <si>
    <t>Авансы выданные</t>
  </si>
  <si>
    <t>Расчеты по авансам выданным</t>
  </si>
  <si>
    <t>Торговая кредиторская задолженность</t>
  </si>
  <si>
    <t>Торговая и прочая кредиторская задолженность</t>
  </si>
  <si>
    <t>Расчеты по авансам выданным (за ОС)</t>
  </si>
  <si>
    <t>Предоплаты за необоротные активы</t>
  </si>
  <si>
    <t>Расчеты по авансам выданным (за НА)</t>
  </si>
  <si>
    <t>Предоплаты за НА</t>
  </si>
  <si>
    <t>Расчеты по авансам выданным (за …….)</t>
  </si>
  <si>
    <t>Расчеты с поотчетными лицами</t>
  </si>
  <si>
    <t>Прочая кредиторская задолженность</t>
  </si>
  <si>
    <t>Расчеты по начисленным доходам</t>
  </si>
  <si>
    <t>Расчеты по претензиям</t>
  </si>
  <si>
    <t>Расчеты по возмещению полученных убытков</t>
  </si>
  <si>
    <t>Расчеты по займам членам кредитных союзов</t>
  </si>
  <si>
    <t>Расчеты с другими дебиторами</t>
  </si>
  <si>
    <t>Расчеты с другими кредиторами</t>
  </si>
  <si>
    <t>Расчеты с другими дебиторами (RP)</t>
  </si>
  <si>
    <t>Финпомощь выданная</t>
  </si>
  <si>
    <t>Ссуды сотрудникам предприятия</t>
  </si>
  <si>
    <t>Резерв сомнительной задолженности</t>
  </si>
  <si>
    <t>Резер сомнительных долгов</t>
  </si>
  <si>
    <t>Резерв сомнительной задолженности (торговая ДЗ)</t>
  </si>
  <si>
    <t>Резерв сомнительной задолженности (авансы выд)</t>
  </si>
  <si>
    <t>Резерв сомнительной задолженности (прочая ДЗ)</t>
  </si>
  <si>
    <t>Расходы будущих периодов</t>
  </si>
  <si>
    <t>Расходы будущих периодов (Вид 1)</t>
  </si>
  <si>
    <t>Расходы будущих периодов (Вид 2)</t>
  </si>
  <si>
    <t>E</t>
  </si>
  <si>
    <t>Учредительный капитал (brought forward)</t>
  </si>
  <si>
    <t>Учредительный капитал</t>
  </si>
  <si>
    <t>Учредительный капитал (movement for period)</t>
  </si>
  <si>
    <t>Паевой капитал</t>
  </si>
  <si>
    <t>Дополнительный капитал</t>
  </si>
  <si>
    <t>Эмиссионный доход</t>
  </si>
  <si>
    <t>Другой внесенный капитал</t>
  </si>
  <si>
    <t>Резерв переоценки ОС (БУ)</t>
  </si>
  <si>
    <t>Резерв переоценки основных средств (brought forward)</t>
  </si>
  <si>
    <t>Резерв переоценки основных средств</t>
  </si>
  <si>
    <t>Резерв переоценки ОС (корректировки ORE) UAH</t>
  </si>
  <si>
    <t>Резерв переоценки ОС (корректировки ORE) USD</t>
  </si>
  <si>
    <t>Резерв переоценки ОС (дооценка - текущий период)</t>
  </si>
  <si>
    <t>Резерв переоценки основных средств (movement for period)</t>
  </si>
  <si>
    <t>Резерв переоценки ОС (уценка - текущий период)</t>
  </si>
  <si>
    <t>Резерв переоценки ОС (амортизация резерва)</t>
  </si>
  <si>
    <t>Резерв переоценки ОС (влияние ОНА/ОНО)</t>
  </si>
  <si>
    <t>Безоплатно полученные необоротные активы</t>
  </si>
  <si>
    <t>Другой дополнительный капитал</t>
  </si>
  <si>
    <t>Резерв (амортизация займов от матер компании) b/f</t>
  </si>
  <si>
    <t>Внесение капитала (brought forward)</t>
  </si>
  <si>
    <t>Внесение капитала</t>
  </si>
  <si>
    <t>Резерв (амортизация займов от матер компании) current</t>
  </si>
  <si>
    <t>Внесение капитала (movement for period)</t>
  </si>
  <si>
    <t>Резервный капитал</t>
  </si>
  <si>
    <t>Нераспределенная прибыль (убыток) (brought forward)</t>
  </si>
  <si>
    <t>Нераспределенная прибыль (убыток)</t>
  </si>
  <si>
    <t>ORE</t>
  </si>
  <si>
    <t>AJU</t>
  </si>
  <si>
    <t>Нераспределенная прибыль (убыток) (movement for period)</t>
  </si>
  <si>
    <t>NCI.1</t>
  </si>
  <si>
    <t>Неконтролируемая доля (накопленная)</t>
  </si>
  <si>
    <t>Доля неконтролирующих участников (brought forward)</t>
  </si>
  <si>
    <t>Доля неконтролирующих участников</t>
  </si>
  <si>
    <t>NCI.2</t>
  </si>
  <si>
    <t>Неконтролируемая доля (за период)</t>
  </si>
  <si>
    <t>Доля неконтролирующих участников (movement for period)</t>
  </si>
  <si>
    <t>ExRt</t>
  </si>
  <si>
    <t>Эффект перевода в валюту представления</t>
  </si>
  <si>
    <t>Изъятый капитал</t>
  </si>
  <si>
    <t>Неоплаченный капитал</t>
  </si>
  <si>
    <t>Задолженность учредителей</t>
  </si>
  <si>
    <t>Обеспечение будущих расходов и платежей</t>
  </si>
  <si>
    <t>Прочие текущие обязательства</t>
  </si>
  <si>
    <t>Обеспечение выплат неиспользованных отпусков</t>
  </si>
  <si>
    <t>Резервы по выплатам персоналу</t>
  </si>
  <si>
    <t>Резервы</t>
  </si>
  <si>
    <t>Дополнительное пенсионное обеспечение</t>
  </si>
  <si>
    <t>Обеспечение гарантийных обязательств</t>
  </si>
  <si>
    <t>Обеспечение других затрат и платежей</t>
  </si>
  <si>
    <t>Резерв под аудиторские услуги</t>
  </si>
  <si>
    <t>Прочие резервы</t>
  </si>
  <si>
    <t>Долгосрочные займы (NEED RJU)</t>
  </si>
  <si>
    <t>Кредиты и заимствования</t>
  </si>
  <si>
    <t>Долгосрочные кредиты банков в нац валюте</t>
  </si>
  <si>
    <t>Долгосрочные банковские займы</t>
  </si>
  <si>
    <t>Долгосрочные кредиты банков в ин валюте</t>
  </si>
  <si>
    <t>Долгосрочные кредиты банков в ин валюте (USD)</t>
  </si>
  <si>
    <t>Долгосрочные кредиты банков в ин валюте (EUR)</t>
  </si>
  <si>
    <t>Долгосрочные кредиты банков в ин валюте (RUR)</t>
  </si>
  <si>
    <t>Отсроченные долгосрочные кредиты банков в нац валюте</t>
  </si>
  <si>
    <t>Отсроченные долгосрочные кредиты банков в ин валюте</t>
  </si>
  <si>
    <t>Другие долгосрочные займы в нац валюте</t>
  </si>
  <si>
    <t>Прочие долгосрочные займы</t>
  </si>
  <si>
    <t>Прочие долгосрочные обязательства</t>
  </si>
  <si>
    <t>Другие долгосрочные займы в ин валюте</t>
  </si>
  <si>
    <t>Другие долгосрочные займы в ин валюте (USD)</t>
  </si>
  <si>
    <t>Другие долгосрочные займы в ин валюте (USD) RP</t>
  </si>
  <si>
    <t>Другие долгосрочные займы в ин валюте (EUR) RP</t>
  </si>
  <si>
    <t>Другие долгосрочные займы в ин валюте (EUR)</t>
  </si>
  <si>
    <t>Дисконт долгосрочных займыов ин валюте (EUR)</t>
  </si>
  <si>
    <t>Долгосрочные векселя выданные</t>
  </si>
  <si>
    <t>Отложенные налоговые обязательства</t>
  </si>
  <si>
    <t>Отложенные налоговые обязательства (Займ Delmar)</t>
  </si>
  <si>
    <t>Отложенные налоговые обязательства (Резерв переоценки ОС)</t>
  </si>
  <si>
    <t>Долгосрочная часть задолженности по фин аренде</t>
  </si>
  <si>
    <t>Обязательства по финаренде</t>
  </si>
  <si>
    <t>Краткосрочные займы</t>
  </si>
  <si>
    <t>Краткосрочные займы (NEED RJU)</t>
  </si>
  <si>
    <t>Кредиты и заимствования (текущая часть)</t>
  </si>
  <si>
    <t>Краткосрочные кредиты банков в нац валюте</t>
  </si>
  <si>
    <t>Краткосрочные банковские займы</t>
  </si>
  <si>
    <t>Краткосрочные кредиты банков в ин валюте</t>
  </si>
  <si>
    <t>Краткосрочные кредиты банков в ин валюте (USD)</t>
  </si>
  <si>
    <t>Краткосрочные кредиты банков в ин валюте (EUR)</t>
  </si>
  <si>
    <t>Краткосрочные кредиты банков в ин валюте (RUR)</t>
  </si>
  <si>
    <t>Отсроченные краткосрочные кредиты банков в нац валюте</t>
  </si>
  <si>
    <t>Отсроченные краткосрочные кредиты банков в ин валюте</t>
  </si>
  <si>
    <t>Просроченные займы в нац валюте</t>
  </si>
  <si>
    <t>Просроченные займы в ин валюте</t>
  </si>
  <si>
    <t>Другие краткосрочные займы в нац валюте</t>
  </si>
  <si>
    <t>Прочие краткосрочные займы</t>
  </si>
  <si>
    <t>Другие краткосрочные займы в ин валюте</t>
  </si>
  <si>
    <t>Другие краткосрочные займы в ин валюте (USD)</t>
  </si>
  <si>
    <t>Другие краткосрочные займы в ин валюте (USD) RP</t>
  </si>
  <si>
    <t>Текущая задолженность по долгосрочным обязательствам</t>
  </si>
  <si>
    <t>Текущая часть долгосрочных обязательств</t>
  </si>
  <si>
    <t>Текущая задолженность по долгосрочным обязательствам в нац валюте</t>
  </si>
  <si>
    <t>Текущая часть задолженности по фин аренде</t>
  </si>
  <si>
    <t>Текущая задолженность по долгосрочным обязательствам в ин валюте</t>
  </si>
  <si>
    <t>Текущая задолженность по долгосрочным обязательствам в ин валюте (USD)</t>
  </si>
  <si>
    <t>Текущая задолженность по долгосрочным обязательствам в ин валюте (USD) RP</t>
  </si>
  <si>
    <t>Краткосрочные векселя выданные</t>
  </si>
  <si>
    <t>Расчеты с поставщиками и подрядчиками</t>
  </si>
  <si>
    <t>Расчеты с отечественными поставщиками</t>
  </si>
  <si>
    <t>Расчеты с отечественными поставщиками RP</t>
  </si>
  <si>
    <t>Задолженность перед RP</t>
  </si>
  <si>
    <t>Расчеты с иностранными поставщиками</t>
  </si>
  <si>
    <t>Расчеты с иностранными поставщиками RP</t>
  </si>
  <si>
    <t>Расчеты по налогам и платежам</t>
  </si>
  <si>
    <t>Прочие налоги и подобные им сборы к уплате</t>
  </si>
  <si>
    <t>Расчеты по налогам</t>
  </si>
  <si>
    <t>Прочие налоги к возмещению из бюджета</t>
  </si>
  <si>
    <t>Налоги к возмещению, отличные от налога на прибыль</t>
  </si>
  <si>
    <t>Расчеты по НДФЛ</t>
  </si>
  <si>
    <t>Расчеты с бюджетом по НДС</t>
  </si>
  <si>
    <t>НДС к возмещению</t>
  </si>
  <si>
    <t>Расчеты по налогу на прибыль</t>
  </si>
  <si>
    <t>Налог на прибыль к уплате</t>
  </si>
  <si>
    <t>Предоплаты по налогу на прибыль</t>
  </si>
  <si>
    <t>Расчеты по другим налогам</t>
  </si>
  <si>
    <t>Коммунальный налог</t>
  </si>
  <si>
    <t>Налог на транспорт</t>
  </si>
  <si>
    <t>Налог на землю</t>
  </si>
  <si>
    <t>Налог с доходов нерезидентов (физ лица)</t>
  </si>
  <si>
    <t>Налог с доходов нерезидентов (юр лица)</t>
  </si>
  <si>
    <t>Прочие расчеты по НДФЛ</t>
  </si>
  <si>
    <t>Расчеты по обязательным платежам</t>
  </si>
  <si>
    <t>Сбор за загрязнение окружающей среды</t>
  </si>
  <si>
    <t>Сбор за водопользование</t>
  </si>
  <si>
    <t>Арендная плата за землю</t>
  </si>
  <si>
    <t>Сбор за использование радиочастотного ресурса</t>
  </si>
  <si>
    <t>Таможенная пошлина</t>
  </si>
  <si>
    <t>Налоговые обязательства по НДС</t>
  </si>
  <si>
    <t>Налоговый кредит</t>
  </si>
  <si>
    <t>Неполученные налоговые накладные</t>
  </si>
  <si>
    <t>Расчеты по страхованию</t>
  </si>
  <si>
    <t>Обязательства перед Пенсионным фондом</t>
  </si>
  <si>
    <t>Единый социальный взнос</t>
  </si>
  <si>
    <t>Обязательства по социальному страхованию</t>
  </si>
  <si>
    <t>Предоплаты по социальному страхованию</t>
  </si>
  <si>
    <t>Обязательства по страхованию в случае безработицы</t>
  </si>
  <si>
    <t>Обязательства по индивидуальному страхованию</t>
  </si>
  <si>
    <t>Предоплаты (переплаты) по страхованию имущества</t>
  </si>
  <si>
    <t>Обязательства по страхованию от несщастных случаев</t>
  </si>
  <si>
    <t>Предоплаты по страхованию от несщастных случаев</t>
  </si>
  <si>
    <t>Расчеты по выплатам работникам</t>
  </si>
  <si>
    <t>Расчеты по заработной плате</t>
  </si>
  <si>
    <t>Авансы по заработной плате</t>
  </si>
  <si>
    <t>Расчеты с депонентами</t>
  </si>
  <si>
    <t>Расчеты по другим выплатам</t>
  </si>
  <si>
    <t>Расчеты по начисленным дивидендам</t>
  </si>
  <si>
    <t>Прочие расчеты с кредиторами (NEED RJU)</t>
  </si>
  <si>
    <t>Расчеты по авансам полученным</t>
  </si>
  <si>
    <t>Расчеты по авансам полученным RP</t>
  </si>
  <si>
    <t>Расчеты по авансам полученным (ОС)</t>
  </si>
  <si>
    <t>Расчеты по авансам полученным (Инвестиции)</t>
  </si>
  <si>
    <t>Расчеты по авансам полученным (………..)</t>
  </si>
  <si>
    <t>Расчеты по начисленным процентам</t>
  </si>
  <si>
    <t>Проценты к уплате</t>
  </si>
  <si>
    <t>Проценты к уплате (UAH)</t>
  </si>
  <si>
    <t>Проценты к уплате (USD)</t>
  </si>
  <si>
    <t>Проценты к уплате (USD) RP</t>
  </si>
  <si>
    <t xml:space="preserve">Расчеты с другими кредиторами </t>
  </si>
  <si>
    <t>Расчеты по аренде</t>
  </si>
  <si>
    <t>Обязательства по финаренде (текущая часть)</t>
  </si>
  <si>
    <t>Расчеты с другими кредиторами (……)</t>
  </si>
  <si>
    <t>Кредиторская задолженность за ОС</t>
  </si>
  <si>
    <t>Доходы будущих периодов</t>
  </si>
  <si>
    <t>Выручка (NEED RJU)</t>
  </si>
  <si>
    <t>Выручка</t>
  </si>
  <si>
    <t>FV</t>
  </si>
  <si>
    <t>Доход от признания с/х продукции по справедливой стоимости</t>
  </si>
  <si>
    <t>Доход от признания по справедливой стоимости</t>
  </si>
  <si>
    <t>Выручка от реализации ГП</t>
  </si>
  <si>
    <t>Выручка от реализации ГП (свекла семенная)</t>
  </si>
  <si>
    <t>Выручка от реализации ГП (озимые культуры)</t>
  </si>
  <si>
    <t>Выручка от реализации ГП (подсолнечник)</t>
  </si>
  <si>
    <t>Выручка от реализации ГП (кориандр)</t>
  </si>
  <si>
    <t>Выручка от реализации ГП (пшеница)</t>
  </si>
  <si>
    <t>Выручка от реализации ГП (ячмень)</t>
  </si>
  <si>
    <t>14</t>
  </si>
  <si>
    <t>16</t>
  </si>
  <si>
    <t>17</t>
  </si>
  <si>
    <t>18</t>
  </si>
  <si>
    <t>19</t>
  </si>
  <si>
    <t>20</t>
  </si>
  <si>
    <t>Прочая ГП</t>
  </si>
  <si>
    <t>Выручка от реализации товаров</t>
  </si>
  <si>
    <t>Выручка от реализации товаров (Вид 1)</t>
  </si>
  <si>
    <t>Выручка от реализации товаров (Вид 2)</t>
  </si>
  <si>
    <t>Выручка от реализации товаров (Вид 3)</t>
  </si>
  <si>
    <t>Выручка от реализации работ и услуг</t>
  </si>
  <si>
    <t>Выручка от реализации работ и услуг (Вид 1)</t>
  </si>
  <si>
    <t>Выручка от реализации работ и услуг (Вид 2)</t>
  </si>
  <si>
    <t>Выручка от реализации работ и услуг (Вид 3)</t>
  </si>
  <si>
    <t>Вычеты из выручки</t>
  </si>
  <si>
    <t>Вычеты из выручки (ГП)</t>
  </si>
  <si>
    <t>Вычеты из выручки (Товары)</t>
  </si>
  <si>
    <t>Вычеты из выручки (Услуги)</t>
  </si>
  <si>
    <t>Прочие доходы (расходы) операционной деятельности  (NEED RJU)</t>
  </si>
  <si>
    <t>Прочие операционные доходы (расходы)</t>
  </si>
  <si>
    <t>Доход от реализации иностранной валюты</t>
  </si>
  <si>
    <t>Чистая прибыль от пересчета валют</t>
  </si>
  <si>
    <t>Доход от реализации прочих оборотных активов</t>
  </si>
  <si>
    <t>Прочие (Проч операц)</t>
  </si>
  <si>
    <t>Доход от аренды</t>
  </si>
  <si>
    <t>Доход от операционной курсовой разницы</t>
  </si>
  <si>
    <t>Полученные штрафы, пени, неустойки</t>
  </si>
  <si>
    <t>Возмещенее ранее списанных активов</t>
  </si>
  <si>
    <t>Доход от списания кредиторской задолженности</t>
  </si>
  <si>
    <t>Доход от безвозмездно полученных оборотных активов</t>
  </si>
  <si>
    <t>Прочие операционные доходы</t>
  </si>
  <si>
    <t>Доход от участия в капитале</t>
  </si>
  <si>
    <t>Доходы (расходы) от участия в капитале</t>
  </si>
  <si>
    <t>Прочие доходы (расходы)</t>
  </si>
  <si>
    <t>Доход от инвестиций в ассоциированные компании</t>
  </si>
  <si>
    <t>Текущие расходы по договору подряда</t>
  </si>
  <si>
    <t>Доход от инвестиций в дочернии компании</t>
  </si>
  <si>
    <t>Доход от инвестиций в прочие компании</t>
  </si>
  <si>
    <t>Финансовые доходы</t>
  </si>
  <si>
    <t>Дивиденды полученные</t>
  </si>
  <si>
    <t>Проценты полученные</t>
  </si>
  <si>
    <t>Другие доходы от финансовых операций</t>
  </si>
  <si>
    <t>Прочие доходы</t>
  </si>
  <si>
    <t>Доход от реализованных финансовых инвестиций</t>
  </si>
  <si>
    <t>Доходы (расходы) от реализации финансовых инвестиций</t>
  </si>
  <si>
    <t>Убыток от продажи ценных бумаг</t>
  </si>
  <si>
    <t>Доход от реализации необоротных активов</t>
  </si>
  <si>
    <t>Доходы (расходы) от реализации необоротных активов</t>
  </si>
  <si>
    <t>Доход от реализации имущественных комплексов</t>
  </si>
  <si>
    <t>Доходы (расходы) от реализации имущественных комплексов</t>
  </si>
  <si>
    <t>Доход от не операционных курсовых разниц</t>
  </si>
  <si>
    <t>Доход от бесплатно полученных активов</t>
  </si>
  <si>
    <t>Прочие</t>
  </si>
  <si>
    <t>Превышение приобретенных чистых активов над суммой их оплаты</t>
  </si>
  <si>
    <t>Возмещение убытков от чрезвычайных событий</t>
  </si>
  <si>
    <t>Прочие чрезвычайные доходы</t>
  </si>
  <si>
    <t>Операции под общим контролем</t>
  </si>
  <si>
    <t>Себестоимость реализации (NEED RJU)</t>
  </si>
  <si>
    <t>Себестоимость</t>
  </si>
  <si>
    <t>С</t>
  </si>
  <si>
    <t>Себестоимость реализации (ГП)</t>
  </si>
  <si>
    <t>Прямой расход сырья и материалов</t>
  </si>
  <si>
    <t>Амортизация основных средств</t>
  </si>
  <si>
    <t>Коммунальные услуги</t>
  </si>
  <si>
    <t xml:space="preserve">Заработная плата </t>
  </si>
  <si>
    <t>Списание запасов</t>
  </si>
  <si>
    <t>Ремонт и техническое обслуживание</t>
  </si>
  <si>
    <t>Сельхоз услуги</t>
  </si>
  <si>
    <t>Прочие услуги</t>
  </si>
  <si>
    <t>Налоги и обязательные платежи</t>
  </si>
  <si>
    <t>Стандартизация и сертификация</t>
  </si>
  <si>
    <t>Аренда земли</t>
  </si>
  <si>
    <t>Трансопртные расходы</t>
  </si>
  <si>
    <t>Консультации и проф. Услуги</t>
  </si>
  <si>
    <t>Начисления на заработную плату</t>
  </si>
  <si>
    <t>Расходы по резерву отпусков</t>
  </si>
  <si>
    <t>ГСМ</t>
  </si>
  <si>
    <t>Сельхоз материалы</t>
  </si>
  <si>
    <t>Материалы</t>
  </si>
  <si>
    <t>Изменение справедливой стоимости БА</t>
  </si>
  <si>
    <t>Прочие расходы</t>
  </si>
  <si>
    <t>Себестоимость реализации (Товары)</t>
  </si>
  <si>
    <t>Себестоимость реализации (Услуги)</t>
  </si>
  <si>
    <t>Общепроизводственные расходы</t>
  </si>
  <si>
    <t>Административные расходы (NEED RJU)</t>
  </si>
  <si>
    <t>Общие и административные расходы</t>
  </si>
  <si>
    <t>Заработная плата (ФОТ)</t>
  </si>
  <si>
    <t>Заработная плата и связанные с ней налоги и сборы (Адм)</t>
  </si>
  <si>
    <t>Профессиональные услуги</t>
  </si>
  <si>
    <t>Консультационные услуги</t>
  </si>
  <si>
    <t>Расходы на содержание основных средств</t>
  </si>
  <si>
    <t>Услуги транспортных организаций (админ)</t>
  </si>
  <si>
    <t>Связь</t>
  </si>
  <si>
    <t>Налоги, пошлины и сборы</t>
  </si>
  <si>
    <t>Пошлины и сборы</t>
  </si>
  <si>
    <t>Командировки</t>
  </si>
  <si>
    <t>Расходы на страхование</t>
  </si>
  <si>
    <t>Техническое обслуживание</t>
  </si>
  <si>
    <t>Аренда</t>
  </si>
  <si>
    <t>Прочие (админ)</t>
  </si>
  <si>
    <t>Услуги по хранению с/х продукции</t>
  </si>
  <si>
    <t>Расходы на сбыт (NEED RJU)</t>
  </si>
  <si>
    <t>Расходы на сбыт</t>
  </si>
  <si>
    <t>Услуги транспортных организаций</t>
  </si>
  <si>
    <t>Услуги транспортных организаций (сбыт)</t>
  </si>
  <si>
    <t>Заработная плата и связанные с ней налоги и сборы (Сбыт)</t>
  </si>
  <si>
    <t>Заработная плата (Начисления на ФОТ)</t>
  </si>
  <si>
    <t>Расходы по аренде</t>
  </si>
  <si>
    <t>Услуги связи</t>
  </si>
  <si>
    <t>Прочие (сбыт)</t>
  </si>
  <si>
    <t>Услуги связи RP</t>
  </si>
  <si>
    <t>………</t>
  </si>
  <si>
    <t>Прочие доходы (расходы) операционной деятельности (NEED RJU)</t>
  </si>
  <si>
    <t>Расходы на исследования и разработки</t>
  </si>
  <si>
    <t>Себестоимость реализованной иностранной валюты</t>
  </si>
  <si>
    <t>Себестоимость реализации производственных запасов</t>
  </si>
  <si>
    <t>Расходы на создание резерва сомнительных долгов</t>
  </si>
  <si>
    <t>Безнадежная задолженность</t>
  </si>
  <si>
    <t>Доходы от восстановление ранее созданого резерва сомнительных долгов</t>
  </si>
  <si>
    <t>Восстановление безнадежной задолженности</t>
  </si>
  <si>
    <t>Расходы от операционной курсовой разницы</t>
  </si>
  <si>
    <t>Расходы от обесценивания товаров</t>
  </si>
  <si>
    <t>Потери от обесценения запасов</t>
  </si>
  <si>
    <t>Недостачи и потери от порчи ценностей</t>
  </si>
  <si>
    <t>Расходы по штрафам, пеням, неустойкам и обеспечения в фонд инвалидов</t>
  </si>
  <si>
    <t>Пени и неустойки</t>
  </si>
  <si>
    <t>Другие расходы операционной деятельности</t>
  </si>
  <si>
    <t>Заработная плата и связанные с ней налоги и сборы</t>
  </si>
  <si>
    <t>Заработная плата и связанные с ней налоги и сборы (Проч)</t>
  </si>
  <si>
    <t>Благотворительность</t>
  </si>
  <si>
    <t>03_RP</t>
  </si>
  <si>
    <t>Финансовые расходы (NEED RJU)</t>
  </si>
  <si>
    <t>Финансовые расходы</t>
  </si>
  <si>
    <t>Проценты за кредит</t>
  </si>
  <si>
    <t>Проценты по кредитам и заимствованиям</t>
  </si>
  <si>
    <t>Расходы по процентам за кредит</t>
  </si>
  <si>
    <t>Расходы по процентам за кредит (RP)</t>
  </si>
  <si>
    <t>Расходы по процентам за кредит (Капитализация)</t>
  </si>
  <si>
    <t>Другие финансовые расходы</t>
  </si>
  <si>
    <t>Другие расходы</t>
  </si>
  <si>
    <t>Расходы по амортизации дисконта</t>
  </si>
  <si>
    <t>Расходы по финансовой аренде</t>
  </si>
  <si>
    <t>Расходы по факторингу</t>
  </si>
  <si>
    <t>Прочие финансовые расходы</t>
  </si>
  <si>
    <t>Расходы от участия в капитале</t>
  </si>
  <si>
    <t>Потери от инвестиций в ассоциированные предприятия</t>
  </si>
  <si>
    <t>Потери от совместной деятельности</t>
  </si>
  <si>
    <t>Потери от инвестиций в дочерние предприятия</t>
  </si>
  <si>
    <t>Себестоимость реализованных финансовых инвестиций</t>
  </si>
  <si>
    <t>Себестоимость реализованных необоротных активов</t>
  </si>
  <si>
    <t>Себестоимость реализованных имущественных комплексов</t>
  </si>
  <si>
    <t>Расходы от не операционных курсовых разниц</t>
  </si>
  <si>
    <t>Уценка необоротных активов и финансовых инвестиций</t>
  </si>
  <si>
    <t>Списание необоротных активов</t>
  </si>
  <si>
    <t>Списание налогового кредита по НДС</t>
  </si>
  <si>
    <t>Обесценение ОС</t>
  </si>
  <si>
    <t>Обесценение основных средств</t>
  </si>
  <si>
    <t>Расходы по налогу на прибыль</t>
  </si>
  <si>
    <t>Расходы по налогу на прибыль (текущие)</t>
  </si>
  <si>
    <t>Текущие расходы по налогу на прибыль</t>
  </si>
  <si>
    <t>Доходы по налогу на прибыль в результате отражения ОНА/ОНО</t>
  </si>
  <si>
    <t>Расходы по налогу на прибыль (ОНА/ОНО)</t>
  </si>
  <si>
    <t>Расходы по налогу на прибыль в результате отражения ОНА/ОНО</t>
  </si>
  <si>
    <t>Налог на прибыль относящийся к компонентам прочего совокупного дохода</t>
  </si>
  <si>
    <t>Расходы по налогу на прибыль (Капитал)</t>
  </si>
  <si>
    <t>Потери от стихийного бедствия</t>
  </si>
  <si>
    <t>Потери от техногенных катастроф и аварий</t>
  </si>
  <si>
    <t>Прочие чрезвычайные потери</t>
  </si>
  <si>
    <t>Расходы от перевода в валюту представления</t>
  </si>
  <si>
    <t>IG</t>
  </si>
  <si>
    <t>Внутригрупповая задолженность (активы)</t>
  </si>
  <si>
    <t>Внутригрупповая задолженность</t>
  </si>
  <si>
    <t>Внутригрупповая задолженность (обязательства)</t>
  </si>
  <si>
    <t>In</t>
  </si>
  <si>
    <t>Внутригрупповые обороты (доходы)</t>
  </si>
  <si>
    <t>Внутригрупповые обороты</t>
  </si>
  <si>
    <t>Ex</t>
  </si>
  <si>
    <t>Внутригрупповые обороты (расходы)</t>
  </si>
  <si>
    <t>FOR</t>
  </si>
  <si>
    <t>Балансирующая статья для отчетности USD</t>
  </si>
  <si>
    <t>АСС</t>
  </si>
  <si>
    <t>—ÙÓÏÓ‚‡ÌËÈ 25.02.20 ‚ 12:58:59</t>
  </si>
  <si>
    <t>œ“ ÀŒÃ¡¿–ƒ "Ã≈– ”–≤…"</t>
  </si>
  <si>
    <t>¿Ì‡Î≥Á ‡ıÛÌÍ‡: 79</t>
  </si>
  <si>
    <t>Á‡ 2019 .</t>
  </si>
  <si>
    <t>–‡ıÛÌÓÍ</t>
  </si>
  <si>
    <t>« ÍÂ‰. ‡ıÛÌÍ≥‚</t>
  </si>
  <si>
    <t>” ‰Â·ÂÚ ‡ıÛÌÍ≥‚</t>
  </si>
  <si>
    <t>” ‚‡Î˛Ú≥</t>
  </si>
  <si>
    <t>—‡Î¸‰Ó Ì‡ ÔÓ˜‡ÚÓÍ ÔÂ≥Ó‰Û</t>
  </si>
  <si>
    <t>Œ·ÓÓÚË Á‡ ÔÂ≥Ó‰</t>
  </si>
  <si>
    <t>—‡Î¸‰Ó Ì‡ Í≥ÌÂˆ¸ ÔÂ≥Ó‰Û</t>
  </si>
  <si>
    <t>24294,49</t>
  </si>
  <si>
    <t>переброска</t>
  </si>
  <si>
    <t>Арендодатель</t>
  </si>
  <si>
    <t>Дата начала</t>
  </si>
  <si>
    <t>Дата окончания</t>
  </si>
  <si>
    <t>Вартість кредитів за даними статистичної звітності банків України (без урахування овердрафту)</t>
  </si>
  <si>
    <t>Месячная ставка</t>
  </si>
  <si>
    <t>Периоды</t>
  </si>
  <si>
    <t>Платеж</t>
  </si>
  <si>
    <t>ООО "СЕРВИС ЭЛИТ"</t>
  </si>
  <si>
    <t>01.04.2018</t>
  </si>
  <si>
    <t>01.03.2021</t>
  </si>
  <si>
    <t>Первоначальное признание Права пользования активом</t>
  </si>
  <si>
    <t>проверка</t>
  </si>
  <si>
    <t>№</t>
  </si>
  <si>
    <t xml:space="preserve">Период </t>
  </si>
  <si>
    <t xml:space="preserve">Платеж </t>
  </si>
  <si>
    <t xml:space="preserve">Продискон-тировання сумма </t>
  </si>
  <si>
    <t>Дисконт</t>
  </si>
  <si>
    <t>01.05.2018</t>
  </si>
  <si>
    <t>01.06.2018</t>
  </si>
  <si>
    <t>01.07.2018</t>
  </si>
  <si>
    <t>01.08.2018</t>
  </si>
  <si>
    <t>01.09.2018</t>
  </si>
  <si>
    <t>01.10.2018</t>
  </si>
  <si>
    <t>01.11.2018</t>
  </si>
  <si>
    <t>01.12.2018</t>
  </si>
  <si>
    <t>31.12.2018</t>
  </si>
  <si>
    <t xml:space="preserve">Расчет балансовой стоимости актива </t>
  </si>
  <si>
    <t>Период</t>
  </si>
  <si>
    <t xml:space="preserve">Срок использования </t>
  </si>
  <si>
    <t>Первоначальная стоимость</t>
  </si>
  <si>
    <t xml:space="preserve">Амортизация </t>
  </si>
  <si>
    <t xml:space="preserve">Накопленная амортизация </t>
  </si>
  <si>
    <t xml:space="preserve">Балансовая стоимость на конец </t>
  </si>
  <si>
    <t>01.01.2019</t>
  </si>
  <si>
    <t>12/26</t>
  </si>
  <si>
    <t>2/26</t>
  </si>
  <si>
    <t>РОМАНОВСКАЯ ФЛП</t>
  </si>
  <si>
    <t>просп. Адмиральский</t>
  </si>
  <si>
    <t>15.11.2020</t>
  </si>
  <si>
    <t>12/23</t>
  </si>
  <si>
    <t>11/23</t>
  </si>
  <si>
    <t>ГОЛДЕН КЛАБ</t>
  </si>
  <si>
    <t>Южмедбиосинтез</t>
  </si>
  <si>
    <t>17.04.2020</t>
  </si>
  <si>
    <t>ЛЫТЮК</t>
  </si>
  <si>
    <t xml:space="preserve">Пушкинская </t>
  </si>
  <si>
    <t>Б. Хмельницкого</t>
  </si>
  <si>
    <t>1.04.2020</t>
  </si>
  <si>
    <t xml:space="preserve"> Стецко</t>
  </si>
  <si>
    <t>28.02.2022</t>
  </si>
  <si>
    <t>01.10.2019</t>
  </si>
  <si>
    <t>просп.Шевченко</t>
  </si>
  <si>
    <t>БАЛАБАН</t>
  </si>
  <si>
    <t>Королева</t>
  </si>
  <si>
    <t>14.12.2020</t>
  </si>
  <si>
    <t>12/24</t>
  </si>
  <si>
    <t>ул. Левитана</t>
  </si>
  <si>
    <t>01.03.2020</t>
  </si>
  <si>
    <t>24.01. 2023</t>
  </si>
  <si>
    <t>1/49</t>
  </si>
  <si>
    <t>12/16</t>
  </si>
  <si>
    <t>4/23</t>
  </si>
  <si>
    <t>Право пользования активом</t>
  </si>
  <si>
    <t>Амортизация</t>
  </si>
  <si>
    <t>Балансовая стоимость Права на 31.12.2019</t>
  </si>
  <si>
    <t>Долгосрочные обязательства по Аренде</t>
  </si>
  <si>
    <t>Остаток обязательств</t>
  </si>
  <si>
    <t>Вартість кредитів (вартість капиталу)</t>
  </si>
  <si>
    <t>Проверка</t>
  </si>
  <si>
    <t>РОМАНОВСКАЯ ФЛП (просп. Адмиральский)</t>
  </si>
  <si>
    <t>БАЛАБАН(Королева)</t>
  </si>
  <si>
    <t>БАЛАБАН(ул. Левитана)</t>
  </si>
  <si>
    <t>Аналіз рахунка: 44</t>
  </si>
  <si>
    <t>З кред. рахунків</t>
  </si>
  <si>
    <t>У дебет рахунків</t>
  </si>
  <si>
    <t>У валюті</t>
  </si>
  <si>
    <t>2.6.</t>
  </si>
  <si>
    <t>1. Признан актив на право аренды</t>
  </si>
  <si>
    <t xml:space="preserve">Дт 118 </t>
  </si>
  <si>
    <t>Актив на право пользования</t>
  </si>
  <si>
    <t xml:space="preserve">Кт 53 </t>
  </si>
  <si>
    <t>Долносрочные обяз. По аренде</t>
  </si>
  <si>
    <t xml:space="preserve">2. Выделение текущей части </t>
  </si>
  <si>
    <t>Дт 53</t>
  </si>
  <si>
    <t>Кт 614</t>
  </si>
  <si>
    <t xml:space="preserve">3. Начислена амортизация </t>
  </si>
  <si>
    <t>Кт 13</t>
  </si>
  <si>
    <t>4. Начислены %</t>
  </si>
  <si>
    <t>Дт 953</t>
  </si>
  <si>
    <t>5. Оплачны аренлные платежи</t>
  </si>
  <si>
    <t>Дт 615</t>
  </si>
  <si>
    <t>Кт 311</t>
  </si>
  <si>
    <t xml:space="preserve">7. Получены акты </t>
  </si>
  <si>
    <t>Дт 614</t>
  </si>
  <si>
    <t>Кт 615</t>
  </si>
  <si>
    <t>24/40</t>
  </si>
  <si>
    <t>36/40</t>
  </si>
  <si>
    <t>48/40</t>
  </si>
  <si>
    <t>3/40</t>
  </si>
  <si>
    <t>01.03.2019</t>
  </si>
  <si>
    <t>29.02.2020</t>
  </si>
  <si>
    <t>10/12</t>
  </si>
  <si>
    <t>2/12</t>
  </si>
  <si>
    <t>Начислено</t>
  </si>
  <si>
    <t>Оплачено</t>
  </si>
  <si>
    <t>29.02.2019</t>
  </si>
  <si>
    <t>За всі звітні періоди, закінчуючи 2012 роком, Компанія підготовляла фінансову звітність у відповідності з національними Положеннями (Стандартами) бухгалтерського обліку (НП(С)БО). Принципи та процедури П(С)БО можуть відрізнятися від загально прийнятих у МСФЗ. З 1 січня 2013 року  Компанія перейшла на облік та фінансову звітність, основою яких є Міжнародні стандарти фінансової звітності.</t>
  </si>
  <si>
    <t>Для підготовки даного фінансового звіту керівництво застосовує оцінки і принципи формування статей активів та пасивів, їх розкриття відповідно до МСФЗ.</t>
  </si>
  <si>
    <t>2.5</t>
  </si>
  <si>
    <t>Економічна ситуація в Україні багато в чому обумовлена геополітичною напругою і військовим конфліктом на сході України.  Ринок фінансових послуг є вразливим до негативних наслідків економічної нестабільності в порівнянні з багатьма іншими секторами. Керівництво стежить за розвитком подій в поточній ситуації та вживає заходів, в разі необхідності, для мінімізації негативного впливу, наскільки це можливо. Подальші несприятливі події в політичних, макроекономічних умовах та/або умовах міжнародної торгівлі можуть також негативно вплинути непередбачуваним чином на фінансовий стан Компанії та її фінансові результати.</t>
  </si>
  <si>
    <t>Операційне середовище</t>
  </si>
  <si>
    <t>2.4.</t>
  </si>
  <si>
    <t>Актив з права користування та орендні зобов’язання.</t>
  </si>
  <si>
    <t>Компанія має певні орендні договори, зокрема з оренди офісних приміщень. Оренда визнається, вимірюється та презентується відповідно до МСФЗ 16 Оренда.
Застосовуючи МСФЗ 16, Компанія має робити коригування, які впливають на оцінку орендних зобов’язань та оцінку активу з права користування. Це включає в себе: визначення договорів, до яких застосовується МСФЗ 16, визначення строку оренди та ставку відсотка щодо майбутніх орендних платежів. Строк оренди, визначений Компанією, складається з невідмовного періоду оренди разом з періодами, які охоплюються можливістю продовження оренди у випадку, якщо Компанія обґрунтовано впевнена у тому, що вона реалізує таку можливість, та періодами, які охоплюються можливістю припинити дію оренди, якщо Компанія обґрунтовано впевнена у тому, що вона не реалізує таку можливість. Для орендних договорів з невизначеним строком Компанія прирівнює тривалість договору до економічного корисного строку експлуатації необоротних активів, які розміщені у орендованому приміщенні та фізично поєднані з ним, або ж прирівнює тривалість договору до середнього типового ринкового строку договору відповідного виду оренди. Той самий економічний корисний строк експлуатації застосовується для визначення строків амортизації активу з права користування.</t>
  </si>
  <si>
    <t>Амортизація відноситься на прибутки і збитки за прямолінійним методом.
На дату початку оренди Компанія визнає актив з права користування та орендне зобов’язання.
На дату початку оренди Компанія оцінює актив з права користування за собівартістю, а орендне зобов’язання – за теперішньою вартістю орендних платежів, не сплачених на таку дату.
В подальшому, Компанія оцінює актив з права користування за собівартістю з вирахуванням будь-якої накопиченої амортизації та будь-яких накопичених збитків внаслідок зменшення корисності, та з коригуванням на будь-яку переоцінку орендного зобов’язання.</t>
  </si>
  <si>
    <t>2.7.</t>
  </si>
  <si>
    <t>2.8.</t>
  </si>
  <si>
    <t>2.9.</t>
  </si>
  <si>
    <t>Для визначення справедливої вартості фінансових інструментів, за якими відсутня інформація про ринкові ціни із зовнішніх джерел, використовуються такі методи оцінки, як модель дисконтування грошових потоків, модель, заснована на даних останніх угод, здійснених між непов'язаними сторонами, або аналіз фінансової інформації про об'єкти інвестування.</t>
  </si>
  <si>
    <t>Первісне визнання фінансових інструментів. Всі фінансові інструменти, що оцінюються за справедливою вартістю через прибуток або збиток, первісно обліковуються за справедливою вартістю. Всі інші фінансові інструменти первісно визнаються за справедливою вартістю плюс витрати на проведення операції. Справедливу вартість при первісному визнанні найкраще підтверджує ціна операції. Прибуток або збиток при первісному визнанні виникає лише тоді, коли є різниця між справедливою вартістю та ціною операції, яку можуть підтвердити існуючі поточні ринкові операції з такими ж інструментами або методи оцінки, для яких використовується тільки відкрита ринкова інформація.  Всі операції із придбання та продажу фінансових активів, що передбачають поставку протягом періоду, визначеного законодавством або традиціями ринку (договори «звичайної» купівлі-продажу), визнаються на дату здійснення угоди, тобто на дату, коли Компанія зобов'язується придбати або продати фінансовий актив. Всі інші операції з придбання фінансових інструментів визнаються тоді, коли суб'єкт господарської діяльності стає стороною договору щодо придбання фінансового інструмента.</t>
  </si>
  <si>
    <t>Припинення визнання фінансових активів. Компанія припиняє визнання фінансових активів, коли (а) активи погашені або права на грошові потоки від них іншим чином закінчилися або (б) коли Компанія передала права на грошові потоки від фінансових активів або уклала угоду щодо передачі, і при цьому (I) також передала , в основному, всі ризики та вигоди володіння активом або (II) не передавала і не зберігала, в основному, всі ризики та вигоди володіння, але не зберегла контроль. Контроль зберігається, коли контрагент не має практичної можливості повністю продати актив незв'язаній стороні, не накладаючи при цьому обмежень на продаж.</t>
  </si>
  <si>
    <t>(b) Знецінення фінансових активів</t>
  </si>
  <si>
    <t>Активи, які амортизуються, аналізуються на предмет їх можливого знецінення в разі будь-яких подій або зміни обставин, які вказують на те, що відшкодування балансової вартості
може стати неможливим. Збиток від знецінення визнається у сумі, на яку балансова вартість активу перевищує вартість його відшкодування. Вартість відшкодування активу – це вища з двох величин: (і) справедливої вартості активу за вирахуванням витрат на продаж або (іі) вартості використання. Для розрахунків можливого знецінення активи групуються на найнижчому рівні, на якому існують окремо ідентифіковані грошові потоки (на рівні одиниць, що генерують грошові кошти).</t>
  </si>
  <si>
    <t xml:space="preserve">Фінансові активи, за винятком фінансових активів, що переоцінюються за справедливою вартістю, з відображенням переоцінки у складі прибутку або збитку, на кожну звітну дату оцінюються на наявність ознак знецінення. Збитки від знецінення визнаються, коли існують об'єктивні свідчення зменшення майбутніх грошових потоків, які піддаються надійній оцінці, пов'язаній з даним активом, як результат одної або декількох подій, що виникли після первісного визнання фінансового активу. </t>
  </si>
  <si>
    <t>2.14</t>
  </si>
  <si>
    <t>Доходи Компанії класифікуються в бухгалтерському обліку і фінансовій звітності за такими групами:
-	Дохід від реалізації продукції (товарів, робіт, послуг);
-	Інші операційні доходи;
-	Фінансові доходи;
-	Інші доходи.</t>
  </si>
  <si>
    <t>Доходи від іншої операційної діяльності включають інші види доходів, які не перелічені у складі доходів від основної діяльності.
Фінансові доходи включають дохід у вигляді відсотків.
Рахунки доходів співвідносяться з рахунками торгової та іншої дебіторської заборгованості, що виділені відповідно до прийнятої класифікації доходів.
Під час продажу продукції, товарів, робіт, послуг дохід визнається в сумі, яка відображає винагороду, що підлягає отриманню в обмін на такі товари, послуги.</t>
  </si>
  <si>
    <t>При відображенні доходів Компанії  застосовується 5-ти ступенчата модель визнання виручки:
Етап 1 – Ідентифікація контрактів;
Етап 2 – Визначення зобов’язань за контрактом;
Етап 3 – Визначення ціни угоди;
Етап 4 – Ідентифікація ціни угоди для виконання зобов’язання за договором;
Етап 5 – Визнання виручки після виконання зобов’язань.</t>
  </si>
  <si>
    <t>Компанія визнає виручку в певний момент часу, коли відбувається передача обіцяних за договором товарів або надання послуг покупцеві. По суті, товари (послуги) передаються (надаються), коли покупець отримує контроль над ними. Отже, виручка визнається в момент отримання покупцем контролю над відповідними активами.
Контроль − це можливість управляти використанням і отримувати в значній мірі всі існуючі переваги від активу. У тому числі контроль включає в себе можливість запобігання використанню активу або отримання вигод від його використання іншою особою або організацією (компанією).</t>
  </si>
  <si>
    <t>Виручка від надання послуг визнається пропорційно ступені завершеності операції станом на дату складання балансу. Ступінь завершеності визначається методом дослідження обсягів виконаних робіт.
Дохід не визнається у випадку, коли існує суттєва вірогідність змін умов контракту, відшкодування витрат покупцю або повернення товарів.
Якщо послуги представляють собою виконання невизначеної кількості операцій за певний період часу, то дохід визнається шляхом рівномірного його нарахування за цей період.</t>
  </si>
  <si>
    <t>Відсотковий дохід відображається як дохід за методом нарахування
Дохід у вигляді дивідендів відображається тоді, коли дивіденди оголошені, а не фактично отримані
Дохід відображається за методом нарахування на підставі умов, які визначені у відповідних договорах.</t>
  </si>
  <si>
    <t>2.15.</t>
  </si>
  <si>
    <t xml:space="preserve">Оренда класифікується як фінансова, коли, за умовами оренди, орендар бере на себе всі істотні ризики і вигоди, пов'язані з володінням відповідними активами. </t>
  </si>
  <si>
    <t>Підприємство створює оціночний резерв під очікувані кредитні збитки за рахунок прибутків і збитків для фінансових активів, що враховуються за амортизованою собівартістю. 
При оцінці відповідності резерву під очікувані кредитні збитки керівництво враховує поточні економічні умови в цілому, терміни простроченої дебіторської заборгованості, попередній досвід при списанні зобов'язань, платоспроможність покупця і зміни в умовах оплати. Зміни в економіці, галузі або фінансовому становищі конкретного покупця можуть спричинити коригування суми резерву під очікувані кредитні збитки, відображеної у фінансовій звітності.</t>
  </si>
  <si>
    <t>Нові та переглянуті стандарти та інтерпретації</t>
  </si>
  <si>
    <t>Облікова політика Компанії відповідає політиці, яка застосовувалася у попередньому звітному періоді, за винятком таких нових Стандартів і Інтерпретацій, а також поправок до них які вступили в силу з 1 січня 2020 року або після цієї дати.</t>
  </si>
  <si>
    <t>Стандарти, які були випущені, але ще не вступили в силу</t>
  </si>
  <si>
    <r>
      <rPr>
        <b/>
        <sz val="10"/>
        <color theme="1"/>
        <rFont val="Garamond"/>
        <family val="1"/>
      </rPr>
      <t>МСФЗ 17 Страхові контракти</t>
    </r>
    <r>
      <rPr>
        <sz val="10"/>
        <color theme="1"/>
        <rFont val="Garamond"/>
        <family val="1"/>
      </rPr>
      <t xml:space="preserve">
Стандарт вимагає, щоб страхові зобов’язання оцінювалися по поточній вартості, і надає більш уніфікований підхід до вимірювання та представлення інформації по всіх страхових контрактах. Ці вимоги призначені для того, щоб досягнути цілі послідовного обліку страхових контрактів. Стандарт розділяє інвестиційні та страхові активності, причому обидві ці активності є важливими сферами бізнесу страхових компаній, але які мають абсолютно різну економічну суть. Стандарт застосовується до звітних періодів, що починаються 1 січня 2021 року або після цієї дати.
Цей стандарт не застосовується до Компанії.</t>
    </r>
  </si>
  <si>
    <r>
      <rPr>
        <b/>
        <sz val="10"/>
        <color theme="1"/>
        <rFont val="Garamond"/>
        <family val="1"/>
      </rPr>
      <t>Інтерпретація КІМСФЗ 23 Невизначеність стосовно порядку обліку податку на прибуток</t>
    </r>
    <r>
      <rPr>
        <sz val="10"/>
        <color theme="1"/>
        <rFont val="Garamond"/>
        <family val="1"/>
      </rPr>
      <t xml:space="preserve">
Інтерпретація призначена для того, щоб роз’яснити порядок обліку податку на прибуток у ситуації, коли невідомо, чи податковий орган погодиться з однією чи іншою інтерпретацією вимог податкового законодавства. Інтерпретація застосовується до звітних періодів, що починаються 1 січня 2019 року або після цієї дати.</t>
    </r>
  </si>
  <si>
    <t xml:space="preserve">корректировки </t>
  </si>
  <si>
    <t>Кт 685</t>
  </si>
  <si>
    <t>Проводки</t>
  </si>
  <si>
    <t>Дт 90</t>
  </si>
  <si>
    <t xml:space="preserve">Довгострокові зобовязання </t>
  </si>
  <si>
    <t>Признан актив на право аренды</t>
  </si>
  <si>
    <t xml:space="preserve">Выделение текущей части </t>
  </si>
  <si>
    <t>Текущая часть ДО</t>
  </si>
  <si>
    <t xml:space="preserve">Начислена амортизация </t>
  </si>
  <si>
    <t>Амортизация права</t>
  </si>
  <si>
    <t>Начислены %</t>
  </si>
  <si>
    <t xml:space="preserve">Фінансові витрати </t>
  </si>
  <si>
    <t>Выделение текущей части 2020</t>
  </si>
  <si>
    <t>Продискон-тировання сумма  2020</t>
  </si>
  <si>
    <t>откорректир</t>
  </si>
  <si>
    <t>Дт 685</t>
  </si>
  <si>
    <t xml:space="preserve">Кт 90 </t>
  </si>
  <si>
    <t>обратная проводка</t>
  </si>
  <si>
    <t>Начислены арендные платежи 2019</t>
  </si>
  <si>
    <t>Корректировка ОР 2019</t>
  </si>
  <si>
    <t>31 грудня 
2019 року</t>
  </si>
  <si>
    <t xml:space="preserve">Актив з права використання </t>
  </si>
  <si>
    <t>Довгострокові орендні зобов'язання</t>
  </si>
  <si>
    <t>01.04.2019</t>
  </si>
  <si>
    <t>9/12</t>
  </si>
  <si>
    <t>3/12</t>
  </si>
  <si>
    <t>окт 2019</t>
  </si>
  <si>
    <t>ноя 2019</t>
  </si>
  <si>
    <t>дек 2019</t>
  </si>
  <si>
    <t>3/29</t>
  </si>
  <si>
    <t>12/29</t>
  </si>
  <si>
    <t>2/29</t>
  </si>
  <si>
    <t>На 31 грудня 2019 року</t>
  </si>
  <si>
    <t>Керівництво Клмпанії  очікує, що коли вищезазначені стандарти та інтерпретації вступлять у силу, вони не матимуть суттєвого впливу на фінансову звітність. На звітну дату Компанія не планує робити раннє застосування цих стандартів та інтерпретацій.</t>
  </si>
  <si>
    <t>Орендне зобов’язання переоцінюється, якщо виконується будь-яка з таких двох умов: або змінився строк оренди, або змінилася оцінка можливості придбання базового активу. Переоцінка здійснюється шляхом дисконтування переглянутих орендних платежів з використанням переглянутої ставки дисконту. Також, якщо наявна модифікація оренди, яка обліковується як окрема оренда, орендар має переоцінити орендне зобов’язання шляхом коригування активу з права користування. Компанія вирішила не визнавати актив з права користування та орендні зобов’язання до оренди зі строком 12 місяців або менше, та оренди, за якою базовий актив є малоцінним. Орендні платежі, пов’язані з такою орендою, визнаються у звіті про сукупний дохід як витрати на прямолінійній основі протягом строку оренди.</t>
  </si>
  <si>
    <t xml:space="preserve">Дебіторська заборгованість за договором фінансового кредиту і оцінюється при первісному визнанні за справедливою вартістю наданого фінансового кредиту, нарахованих відсотків та нарахованої пені. 
Балансова вартість дебіторської заборгованості за договорами фінансового кредиту перевіряється на предмет знецінення у випадках, коли події або обставини вказують на ймовірність того, що балансова вартість не буде відшкодована, а збиток від знецінення визнається у звіті про прибутки і збитки.  Компанія формує страховий резерв за всіма видами кредитних операцій, включаючи нараховані за всіма цими операціями відсотки відповідно до Методики формування та списання небанківськими фінансовими установами резерву для відшкодування можливих втрат за всіма видами кредитних операцій. 
</t>
  </si>
  <si>
    <t>Якщо відшкодування активу менше його балансової вартості,  то балансова вартість активу зменшується до його  очікуваного відшкодування. Таке зменшення є збитком від зменшення корисності. Якщо сума очікуваного відшкодування більше балансової вартості ,то збиток від знецінення коригується в межах його накопиченої суми.
Визнання дебіторської заборгованості по договорам фінансового кредиту припиняється у разі виконання критеріїв припинення визнання фінансових активів.</t>
  </si>
  <si>
    <t>Фінансові інструменти обліковуються за справедливою вартістю. Справедлива вартість являє собою поточну ціну попиту для фінансових активів та ціну пропозиції для фінансових зобов'язань, що котуються на активному ринку. У відношенні активів і зобов'язань із взаємно компенсуючим ринковим ризиком Компанія може використовувати середні ринкові ціни для визначення справедливої вартості позицій зі взаємно компенсуючими ризиками та застосовувати до чистої відкритої позиції відповідну ціну попиту або ціну пропозиції. Фінансовий інструмент вважається котируваним на активному ринку, якщо котирування є вільно та регулярно доступними на фондовій біржі чи в іншій організації, і ці ціни відображають дійсні і регулярні ринкові операції, що здійснюються на загальних підставах</t>
  </si>
  <si>
    <t>Знецінення фінансових активів</t>
  </si>
  <si>
    <t>У відношенні цінних паперів на право власності, що наявні для продажу, будь-яке збільшення справедливої вартості після визнання збитків від знецінення відноситься безпосередньо на капітал.</t>
  </si>
  <si>
    <t xml:space="preserve">(в) </t>
  </si>
  <si>
    <t>Фінансові зобов'язання</t>
  </si>
  <si>
    <t xml:space="preserve">(г) </t>
  </si>
  <si>
    <t>Списання фінансових активів та фінансових зобов'язань</t>
  </si>
  <si>
    <t xml:space="preserve">(а) </t>
  </si>
  <si>
    <t>Класифікація і визнання доходів</t>
  </si>
  <si>
    <t xml:space="preserve">(б) </t>
  </si>
  <si>
    <t>Виручка від реалізації послуг</t>
  </si>
  <si>
    <r>
      <rPr>
        <b/>
        <sz val="10"/>
        <color rgb="FF000000"/>
        <rFont val="Garamond"/>
        <family val="1"/>
      </rPr>
      <t xml:space="preserve">(с) </t>
    </r>
    <r>
      <rPr>
        <sz val="10"/>
        <color indexed="8"/>
        <rFont val="Garamond"/>
        <family val="1"/>
        <charset val="204"/>
      </rPr>
      <t xml:space="preserve">																																				</t>
    </r>
  </si>
  <si>
    <t xml:space="preserve">Відсотки і дивіденди	</t>
  </si>
  <si>
    <t>Знецінення основних засобів</t>
  </si>
  <si>
    <t>Термін корисного використання основних засобів</t>
  </si>
  <si>
    <t>Резерв під очікувані кредитні збитки</t>
  </si>
  <si>
    <t xml:space="preserve">		4.   ЗАСТОСУВАННЯ НОВИХ ТА ПЕРЕГЛЯНУТИХ СТАНДАРТІВ ТА ІНТЕРПРЕТАЦІЙ																																			</t>
  </si>
  <si>
    <t>Амортизація права використання</t>
  </si>
  <si>
    <t xml:space="preserve">ДОВГОСТРОКОВІ  ЗОБОВ'ЯЗАННЯ </t>
  </si>
  <si>
    <t>КОРОТКОСТРОКОВІ ЗОБОВ'ЯЗАННЯ</t>
  </si>
  <si>
    <t>Заробітня плата, податки та збори</t>
  </si>
  <si>
    <t xml:space="preserve">ПЕРЕДПЛАТИ ОДЕРЖАНІ </t>
  </si>
  <si>
    <t xml:space="preserve">(a) </t>
  </si>
  <si>
    <t>Дебіторська заборгованість за договорами фінансового кредиту</t>
  </si>
  <si>
    <t>ЗМІСТ                                                                                                                                                  Стор.</t>
  </si>
  <si>
    <t xml:space="preserve">Доходи та витрати по кожній статті звіту про сукупний дохід переводяться за середнім курсом (якщо цей середній курс не є обґрунтованим приближенням сукупного ефекту курсів, що діяли на дати операцій, то доходи та витрати переводяться за курсом на дати операцій); </t>
  </si>
  <si>
    <t>Довгостроковi зобов'язання</t>
  </si>
  <si>
    <t>Передплати одержані</t>
  </si>
  <si>
    <t>Справедлива вартість фінансових інструментів</t>
  </si>
  <si>
    <t>Події після звітного періоду</t>
  </si>
  <si>
    <t>21.</t>
  </si>
  <si>
    <t>Короткостроковi зобов'язання</t>
  </si>
  <si>
    <t>Авансі видані та інші оборотні активи</t>
  </si>
  <si>
    <t>Інші доходи\(витрати), нетто</t>
  </si>
  <si>
    <t>Застосування нових та переглянутих  стандартів та інтерпретацій</t>
  </si>
  <si>
    <t>2.1</t>
  </si>
  <si>
    <t>2.2</t>
  </si>
  <si>
    <t>2.3</t>
  </si>
  <si>
    <t>2.19</t>
  </si>
  <si>
    <t xml:space="preserve">9. </t>
  </si>
  <si>
    <t>Примітки на стор.8-24 є невідміною частиною данної фінансової звітності</t>
  </si>
  <si>
    <t xml:space="preserve">Справедлива вартість - це сума грошових коштів, на яку фінансовий інструмент може бути обміняний в ході поточних операцій (відмінною від вимушеного продажу або ліквідації) між зацікавленими сторонами і яка найкращим чином може бути підтверджена ринковим котируванням. Справедлива вартість фінансових активів та зобов'язань, що відображаються за амортизаційною вартістю, оцінюється шляхом дисконтування майбутніх грошових потоків, очікуваних до одержання згідно з чинними контрактами, за поточною ринковою відсотковою ставкою, доступною для Компанії, для подібних фінансових інструментів з аналогічним терміном погашення.                                                                                          Оцінки справедливої вартості аналізуються за рівнями iеpapxii справедливої вартості наступним чином: (i) перший рівень — це оцінки за цінами котирування (без застосування коригувань) на активних ринках для ідентичних активів та зобов’язань; (ii) другий рівень — це техніки оцінки з усіма суттєвими параметрами, наявними для спостереження за активами та зобов’язаннями, безпосереднім чином (тобто ціни), aбo опосередковано (тобтовизначені на основі цін), та (iii) третій рівень - це оцінки, які не базуються винятково на наявних на ринку даних (тобтооцінка вимагає значного застосування параметрів, за якими відсутні ринкові спостереження). При класифікації фінансових інструментів із використанням iєpapxiï справедливої вартості керівництво застосовує професійнісудження. Якщо при оцінці справедливої вартості використовуються дані з відкритих ринків, що вимагають значнихкоригувань, ця оцінка відповідає оцінці за рівнем 3. Значущість даних, використаних при оцінці, визначається упорівнянні з yciєю оціненою сумою справедливої вартості.
</t>
  </si>
  <si>
    <t>__________ 04.02.21 _ 15:36:04</t>
  </si>
  <si>
    <t>__ _______ "________"</t>
  </si>
  <si>
    <t>________-________ _________</t>
  </si>
  <si>
    <t>__ 2020 _.</t>
  </si>
  <si>
    <t>_______</t>
  </si>
  <si>
    <t>______ __ _______ _______</t>
  </si>
  <si>
    <t>_______ __ ______</t>
  </si>
  <si>
    <t>______ __ ______ _______</t>
  </si>
  <si>
    <t>___</t>
  </si>
  <si>
    <t>_____</t>
  </si>
  <si>
    <t>______</t>
  </si>
  <si>
    <t>_______ ______</t>
  </si>
  <si>
    <t>______ __ __________</t>
  </si>
  <si>
    <t>___________, _______ __ ________</t>
  </si>
  <si>
    <t>____ __________ ___________ ______</t>
  </si>
  <si>
    <t>_________ __________ ___________ ______</t>
  </si>
  <si>
    <t>117</t>
  </si>
  <si>
    <t>_____________ ______</t>
  </si>
  <si>
    <t>____ _____________ ______</t>
  </si>
  <si>
    <t>____ (_________i_) ___________ _______</t>
  </si>
  <si>
    <t>____ ________ _______</t>
  </si>
  <si>
    <t>____ _____ ___________ ____________ _______</t>
  </si>
  <si>
    <t>__________ _________i_ ______________ _______</t>
  </si>
  <si>
    <t>__________ __________</t>
  </si>
  <si>
    <t>152</t>
  </si>
  <si>
    <t>_________ (____________) ________ _______</t>
  </si>
  <si>
    <t>1521</t>
  </si>
  <si>
    <t>_________ ________ _______</t>
  </si>
  <si>
    <t>_________ (____________) _____ ___________ ____________ _______</t>
  </si>
  <si>
    <t>_________  _____ ___________ ____________ _______</t>
  </si>
  <si>
    <t>_________ (_________) ______________ _______</t>
  </si>
  <si>
    <t>_________ ______________ _______</t>
  </si>
  <si>
    <t>_________ ______</t>
  </si>
  <si>
    <t>201</t>
  </si>
  <si>
    <t>________ _ _________</t>
  </si>
  <si>
    <t>_________ __ _______________ ________</t>
  </si>
  <si>
    <t>______ __ ______</t>
  </si>
  <si>
    <t>_______ _ ____________ ______</t>
  </si>
  <si>
    <t>_______ _ ______</t>
  </si>
  <si>
    <t>_______ _______ _ ____________ ______</t>
  </si>
  <si>
    <t>313</t>
  </si>
  <si>
    <t>____ _______ _ _____ _ ____________ ______</t>
  </si>
  <si>
    <t>____ _____</t>
  </si>
  <si>
    <t>_______ _____ _ ______ _ ____________ ______</t>
  </si>
  <si>
    <t>__________ _ _________ __ ___________</t>
  </si>
  <si>
    <t>__________ _ ____________ _________</t>
  </si>
  <si>
    <t>__________ _ _______ __________</t>
  </si>
  <si>
    <t>__________ _ ___________ _______</t>
  </si>
  <si>
    <t>__________ _ ___________ _______ _ ____________ ______</t>
  </si>
  <si>
    <t>__________ __ ____________ ________</t>
  </si>
  <si>
    <t>__________ __ ___________</t>
  </si>
  <si>
    <t>__________ _ ______ __________</t>
  </si>
  <si>
    <t>__________ _ ______ __________ (_ _______ _________)</t>
  </si>
  <si>
    <t>_______ _________ ________</t>
  </si>
  <si>
    <t>______________ (_______) _______</t>
  </si>
  <si>
    <t>_________ _______</t>
  </si>
  <si>
    <t>__________ _______</t>
  </si>
  <si>
    <t>_____ __________ _______</t>
  </si>
  <si>
    <t>_____________ ________ (_________ ______)</t>
  </si>
  <si>
    <t>________ ______________</t>
  </si>
  <si>
    <t>____________ _________ ______ _ ________</t>
  </si>
  <si>
    <t>____________ ______ _________</t>
  </si>
  <si>
    <t>53</t>
  </si>
  <si>
    <t>_____________ _____’______ _ ______</t>
  </si>
  <si>
    <t>531</t>
  </si>
  <si>
    <t>_____’______ _ __________ ______</t>
  </si>
  <si>
    <t>60</t>
  </si>
  <si>
    <t>_______________ ______</t>
  </si>
  <si>
    <t>601</t>
  </si>
  <si>
    <t>_______________ _______ ______ _ ____________ ______</t>
  </si>
  <si>
    <t>61</t>
  </si>
  <si>
    <t>_______ ______________ __ _______________ _____’________</t>
  </si>
  <si>
    <t>611</t>
  </si>
  <si>
    <t>_______ ______________ __ _______________ _____’________ _ _____</t>
  </si>
  <si>
    <t>__________ _ _______________ __ ____________</t>
  </si>
  <si>
    <t>__________ _ ____________ _______________</t>
  </si>
  <si>
    <t>__________ __ _________ _ _________</t>
  </si>
  <si>
    <t>__________ __ _________</t>
  </si>
  <si>
    <t>___________ _______</t>
  </si>
  <si>
    <t>_______ __ ________</t>
  </si>
  <si>
    <t>__________ __ ____’________ _________</t>
  </si>
  <si>
    <t>__________ __ _____ ____'_______ ________</t>
  </si>
  <si>
    <t>__________ __ ____________</t>
  </si>
  <si>
    <t>__ ____________ __ __________. ____. ___. ___________</t>
  </si>
  <si>
    <t>__________ __ _________ ___________</t>
  </si>
  <si>
    <t>__________ __ __________ ______</t>
  </si>
  <si>
    <t>__________ __ _______ __________</t>
  </si>
  <si>
    <t>684</t>
  </si>
  <si>
    <t>__________ __ ____________ __________</t>
  </si>
  <si>
    <t>6841</t>
  </si>
  <si>
    <t>__________ __ ____________ __________ _ ____________ ______</t>
  </si>
  <si>
    <t>__________ _ ______ ___________</t>
  </si>
  <si>
    <t>__________ _ ______ ___________ (_ _______ _________)</t>
  </si>
  <si>
    <t>______ ___ __________</t>
  </si>
  <si>
    <t>_____ ___ __________ _______</t>
  </si>
  <si>
    <t>_____ ___ __________ _____ _ ______</t>
  </si>
  <si>
    <t>_________ __________</t>
  </si>
  <si>
    <t>_________ ______i____ __________</t>
  </si>
  <si>
    <t>792</t>
  </si>
  <si>
    <t>_________ __________ ________</t>
  </si>
  <si>
    <t>____________ __________</t>
  </si>
  <si>
    <t>____________ ____________ _______</t>
  </si>
  <si>
    <t>____________ ____________ _____ _ ______</t>
  </si>
  <si>
    <t>_______________ _______</t>
  </si>
  <si>
    <t>____ _______ ___________ __________</t>
  </si>
  <si>
    <t>95</t>
  </si>
  <si>
    <t>951</t>
  </si>
  <si>
    <t>________ __ ______</t>
  </si>
  <si>
    <t>________ _________</t>
  </si>
  <si>
    <t>______ _. _.</t>
  </si>
  <si>
    <t>4 ______ 2021 _.</t>
  </si>
  <si>
    <t>(______)</t>
  </si>
  <si>
    <t xml:space="preserve">перевод в текущую часть </t>
  </si>
  <si>
    <t>Выделение текущей части 2021</t>
  </si>
  <si>
    <t>Итого</t>
  </si>
  <si>
    <t>Á‡ 2020 .</t>
  </si>
  <si>
    <t>952</t>
  </si>
  <si>
    <t>31 грудня 2019</t>
  </si>
  <si>
    <t>31 грудня 2020</t>
  </si>
  <si>
    <t>Врем. разницы</t>
  </si>
  <si>
    <t>31.12.2019</t>
  </si>
  <si>
    <t>31.12.2020</t>
  </si>
  <si>
    <t>31.12.2021</t>
  </si>
  <si>
    <t>НБ</t>
  </si>
  <si>
    <t>ББ</t>
  </si>
  <si>
    <t>Кредити та запозичення</t>
  </si>
  <si>
    <t xml:space="preserve">Торгова та інша дебіторська </t>
  </si>
  <si>
    <t>заборгованість</t>
  </si>
  <si>
    <t>Чисте відстрочене податкове</t>
  </si>
  <si>
    <t>(Зобов'язання) / актив</t>
  </si>
  <si>
    <t>+</t>
  </si>
  <si>
    <t>1.    Кеш флоу –налоги</t>
  </si>
  <si>
    <t>2.    Резервы по ДЗ и ЗП</t>
  </si>
  <si>
    <t>3.    ОНА-ОНО</t>
  </si>
  <si>
    <t>4.    фининструменты</t>
  </si>
  <si>
    <t>?</t>
  </si>
  <si>
    <t>Резерв отпусков</t>
  </si>
  <si>
    <t>Дата</t>
  </si>
  <si>
    <t>Фонд</t>
  </si>
  <si>
    <t>Резерв</t>
  </si>
  <si>
    <t>FS</t>
  </si>
  <si>
    <t>Резерв безнад. деб. зад-ти</t>
  </si>
  <si>
    <t>До 180 дн</t>
  </si>
  <si>
    <t>180-365 дн</t>
  </si>
  <si>
    <t>больше 1 г</t>
  </si>
  <si>
    <t>Всего</t>
  </si>
  <si>
    <t>Списываем</t>
  </si>
  <si>
    <t>31.12.2011 зад-ть</t>
  </si>
  <si>
    <t>31.12.2012 зад-ть</t>
  </si>
  <si>
    <t>31.12.2011 Резерв</t>
  </si>
  <si>
    <t>31.12.2012 Резерв</t>
  </si>
  <si>
    <t xml:space="preserve">   </t>
  </si>
  <si>
    <t>31 грудня 2018</t>
  </si>
  <si>
    <t>31.12.2017</t>
  </si>
  <si>
    <t xml:space="preserve">Протягом 2019 року, прибуток Компанії оподатковувався податком на прибуток за ставкою 18% </t>
  </si>
  <si>
    <t xml:space="preserve">Дт Расх по налогу </t>
  </si>
  <si>
    <t>Дт ОНА</t>
  </si>
  <si>
    <t>Кт Налог к опл</t>
  </si>
  <si>
    <t>Складові витрат з податку на прибуток за 2019 рік наступні:</t>
  </si>
  <si>
    <t>Поточні витрати з податку</t>
  </si>
  <si>
    <t>Реалізація / (нарахування) відстроченого податку (Примітка 12)</t>
  </si>
  <si>
    <t>Звірка витрат з податку на прибуток та результату бухгалтерського обліку, помноженого на встановлену законодавством ставку податку, виглядає таким чином:</t>
  </si>
  <si>
    <t>Дт17 Кт44</t>
  </si>
  <si>
    <t>Прибуток / (збиток) до оподаткування:</t>
  </si>
  <si>
    <t>Витрати з податку на прибуток за ставкою 18%</t>
  </si>
  <si>
    <t>Вплив зміни ставки оподаткування</t>
  </si>
  <si>
    <t>Вплив постійних різниць</t>
  </si>
  <si>
    <t>Разом витрати з податку на прибуток</t>
  </si>
  <si>
    <t>ВІДКЛАДЕНИЙ ПОДАТОК</t>
  </si>
  <si>
    <t>Дт 98</t>
  </si>
  <si>
    <t>Кт 54</t>
  </si>
  <si>
    <t>31 грудня 
2020  року</t>
  </si>
  <si>
    <t>За рik, що закінчився 31 грудня 2020 року</t>
  </si>
  <si>
    <t>ЗАЯВА КЕРІВНИЦТВА ПРО ВІДПОВІДАЛЬНІСТЬ 
ЗА ПІДГОТОВКУ ТА ЗАТВЕРДЖЕННЯ ФІНАНСОВОЇ ЗВІТНОСТІ
ЗА РОКИ, ЩО ЗАКІНЧИЛИСЯ 31 ГРУДНЯ 2019 ТА 2020 РОКУ</t>
  </si>
  <si>
    <t>Керівництво ПТ ЛОМБАРД "МЕРКУРІЙ" (надалі - Компанія) несе відповідальність за підготовку фінансової звітності, що достовірно відображає у всіх суттєвих аспектах фінансовий стан Компанії станом на 31 грудня 2019 та 2020 року,  а також результати її діяльності, рух грошових коштів і зміни в капіталі за рік, що закінчився 31 грудня 2020 року, у відповідності до Міжнародних Стандартів Фінансової Звітності (надалі - МСФЗ).</t>
  </si>
  <si>
    <t>ЗА РІК, ЩО ЗАКІНЧИВСЯ 31 ГРУДНЯ 2020 РОКУ</t>
  </si>
  <si>
    <t>На 31 грудня 2020 року</t>
  </si>
  <si>
    <t>За рік, що закінчивися 31 грудня 2020 року, виручка була представлена наступним чином:</t>
  </si>
  <si>
    <t>За роки, що закінчився 31 грудня 2020  року, собівартість в розрізі елементів витрат була представлена наступним чином:</t>
  </si>
  <si>
    <t>За роки, що закінчилися 31 грудня 2020 року, загальні та адміністративні витрати були представлені наступним чином:</t>
  </si>
  <si>
    <t>За рік, що закінчилися 31 грудня 2020, інші доходи/(витрати) були представлені наступним чином:</t>
  </si>
  <si>
    <t xml:space="preserve">Протягом 2020 року, Компанія обкладалися податком на прибуток за ставкою 18% </t>
  </si>
  <si>
    <t>Суми  відстрочених податкових активів та зобов'язань станом на 31 грудня 2019 року та  31 грудня 2020 року  не були суттєвими, тому не були враховані при розрахунку фінансових показників звітності</t>
  </si>
  <si>
    <t>Витрати на заробітну плату за роки, що закінчилися 31 грудня 2020 року, були представлені наступним чином:</t>
  </si>
  <si>
    <t>Станом на 31 грудня 2020 та 2019 року, основні засоби були представлені наступним чином:</t>
  </si>
  <si>
    <t>Станом на 31 грудня 2020 та 31 грудня 2019 року, аванси видані та інші оборотні активи були представлені наступним чином:</t>
  </si>
  <si>
    <t>Станом на 31 грудня 2020 та 31 грудня 2019 року, грошові кошти та їх еквіваленти були представлені наступним чином:</t>
  </si>
  <si>
    <t>Статутний капітал станом на 31 грудня 2020  року був представлений наступним чином:</t>
  </si>
  <si>
    <t>Станом на 31 грудня  2020 року,  довгострокові зобов'язання була представлена наступним чином:</t>
  </si>
  <si>
    <t>Станом на 31 грудня 2020 року короткострокові зобов'язання були представлені наступним чином:</t>
  </si>
  <si>
    <t>Станом на 31 грудня 2020  та 31 грудня 2019 року, передплати одержані та інші короткострокові зобов'язання були представлені наступним чином:</t>
  </si>
  <si>
    <t>Компанія не була схильна до валютного ризику станом на 31 грудня 2020 року та 31 грудня 2019 року, оскільки не мала жодних монетарних активів або зобов'язань деномінованих в іноземній валюті.</t>
  </si>
  <si>
    <t>Договірні терміни погашення по фінансовим активам та зобов'язанням станом на 1 січня 2020 року представлені наступним чином:</t>
  </si>
  <si>
    <t>11 березня 2020 року Всесвітнє організація охорони здоров'я (ВООЗ) офіційно оголосила пандемію, викликану новим коронавірусом (COVID-19).
Менеджмент Компанії визначив, що ці події  не є корегуючімі  по відношенню до фінансової звітності за 2019 рік. Відповідно, фінансовий стан на 31.12.2020 і результати діяльності за рік, що закінчився 31 грудня 2020 року,  НЕ були скориговані на вплив подій, пов'язаних з COVID-19.
Керівництво уважно стежить за розвитком цієї пандемії, в тому числі за тим, як COVID-19 може вплинути на Компанію, економіку країни і населення в цілому. Керівництво ще не визначило фінансовий вплив цих подій.</t>
  </si>
  <si>
    <t>СТАНОМ НА 31 ГРУДНЯ 2020 ТА 2019 РОКУ</t>
  </si>
  <si>
    <t>Повне товариство ломбард "Меркурій"Приватне ТОВ "Голден клаб лимитед" і компанія (далі – Компанія) зареєстровано у відповідності з законодавством України 29.11.2011  року.  Виключним видом  діяльності компанії є надання на власний ризик фінансових кредитів фізичним особам за рахунок власних або залучених коштів під заставу майна на визначений строк та під процент та надання визначених законодавством супутніх послуг. Компанія здійснює свою діяльність на підставі свідоцтва про реєстрацію фінансової установи, виданого Державною комісією з регулювання ринків фінансових послуг України. Компанія надає наступні фінансові послуги :
-	Надання коштів у позику, в тому числі і на умовах фінансового кредиту.
Компанія надає наступні супутні послуги:
- надання посередницьких послуг зі страхування предмета застави на підставі агентського договору зі страховою компанією;
-	реалізація заставленого майна відповідно до чинного законодавства та/або умов договору.
Компанія має ліцензію на надання коштів у позику, в тому числі і на умовах фінансового кредиту. Компанія зареєстрована та розташована за адресою: Україна, м. Одеса, вул. Велика Арнаутська,   будинок 55, офіс 39.</t>
  </si>
  <si>
    <t>Цей повний комплект фінансової звітності відповідно до МСФЗ, в тому числі звіт про фінансове становище, відповідному звіти про сукупний дохід, про зміни капіталу та про рух грошових коштів, а також порівняльна інформація за попередній рік, був підготовлений за рік, що закінчився 31 грудня 2020.</t>
  </si>
  <si>
    <t>Також, Компанія використала модифікований ретроспективний підхід для переходу на МСФЗ 16, та вирішила використати практичний прийом, який дозволяє не переоцінювати, чи договір є орендним, або містить оренду на дату першого застосування. Порівняльна інформація за 2019 рік не перераховується.</t>
  </si>
  <si>
    <r>
      <t xml:space="preserve">Фінансові зобов'язання, що відображаються за справедливою вартістю з визнанням прибутку або збитку - </t>
    </r>
    <r>
      <rPr>
        <sz val="10"/>
        <color indexed="8"/>
        <rFont val="Garamond"/>
        <family val="1"/>
        <charset val="204"/>
      </rPr>
      <t>фінансові зобов'язання, утримувані з метою торгівлі, і фінансові зобов'язання, заявлені до відображення при первісному визнанні за справедливою вартістю з відображенням прибутку або збитку. Станом на 31 грудня 2020 року у Компанії не було фінансових зобов'язань у даній категорії.</t>
    </r>
  </si>
  <si>
    <t xml:space="preserve"> Суть та ефект змін в результаті прийняття цих нових стандартів описані нижче. </t>
  </si>
  <si>
    <r>
      <t>За рік, що закінчився 31 грудня</t>
    </r>
    <r>
      <rPr>
        <sz val="10"/>
        <rFont val="Garamond"/>
        <family val="1"/>
        <charset val="204"/>
      </rPr>
      <t xml:space="preserve"> 2020</t>
    </r>
    <r>
      <rPr>
        <sz val="10"/>
        <color rgb="FFFF0000"/>
        <rFont val="Garamond"/>
        <family val="1"/>
        <charset val="204"/>
      </rPr>
      <t xml:space="preserve"> </t>
    </r>
    <r>
      <rPr>
        <sz val="10"/>
        <color indexed="8"/>
        <rFont val="Garamond"/>
        <family val="1"/>
        <charset val="204"/>
      </rPr>
      <t>року винагорода ключового управлінського персоналу склала 5341 долар США .</t>
    </r>
  </si>
  <si>
    <r>
      <t xml:space="preserve">Протягом року, що закінчився 31 грудня 2020, </t>
    </r>
    <r>
      <rPr>
        <sz val="10"/>
        <color rgb="FFFF0000"/>
        <rFont val="Garamond"/>
        <family val="1"/>
        <charset val="204"/>
      </rPr>
      <t xml:space="preserve"> </t>
    </r>
    <r>
      <rPr>
        <sz val="10"/>
        <rFont val="Garamond"/>
        <family val="1"/>
        <charset val="204"/>
      </rPr>
      <t>змін стосовно</t>
    </r>
    <r>
      <rPr>
        <sz val="10"/>
        <color indexed="8"/>
        <rFont val="Garamond"/>
        <family val="1"/>
        <charset val="204"/>
      </rPr>
      <t xml:space="preserve"> складеного капіталу , складу  учасників та його  структури не було.</t>
    </r>
  </si>
  <si>
    <t>Співробітники Компанії отримують пенсійне забезпечення від Пенсійного фонду, державної української організації, у відповідності з нормативними документами та законами України. Компанія зобов'язана відраховувати визначений відсоток заробітної плати до Пенсійного фонду з метою виплати пенсій. Єдиним зобов'язанням Компанії по відношенню до даного пенсійного плану є відрахування певного відсотку зарплати до Пенсійного фонду. Станом на 31 грудня 2019 року та 2020 року Компанія не мала зобов'язань за додатковими пенсійними виплатами, медичним обслуговуванням, страховими чи іншими виплатами після виходу на пенсію перед своїми співробітниками чи іншими працівниками.</t>
  </si>
  <si>
    <t>Протягом 2020 року не було змін у підході Компанії до управління капіталом.</t>
  </si>
  <si>
    <t>Дана фінансова звітність станом на 31 грудня 2020  року, що підготовлена відповідно до МСФЗ, затверджена від імені керівництва Компанії 15 квітня  2021 року.</t>
  </si>
</sst>
</file>

<file path=xl/styles.xml><?xml version="1.0" encoding="utf-8"?>
<styleSheet xmlns="http://schemas.openxmlformats.org/spreadsheetml/2006/main">
  <numFmts count="33">
    <numFmt numFmtId="43" formatCode="_-* #,##0.00_р_._-;\-* #,##0.00_р_._-;_-* &quot;-&quot;??_р_._-;_-@_-"/>
    <numFmt numFmtId="164" formatCode="&quot;$&quot;#,##0.00_);[Red]\(&quot;$&quot;#,##0.00\)"/>
    <numFmt numFmtId="165" formatCode="_(* #,##0.00_);_(* \(#,##0.00\);_(* &quot;-&quot;??_);_(@_)"/>
    <numFmt numFmtId="166" formatCode="#,##0_);[Black]\(#,##0\);&quot;-&quot;_)"/>
    <numFmt numFmtId="167" formatCode="#,##0_);[Red]\(#,##0\);&quot;-&quot;_)"/>
    <numFmt numFmtId="168" formatCode="_-* #,##0_р_._-;\-* #,##0_р_._-;_-* &quot;-&quot;??_р_._-;_-@_-"/>
    <numFmt numFmtId="169" formatCode="#,##0.000_ ;\-#,##0.000\ "/>
    <numFmt numFmtId="170" formatCode="0.0000"/>
    <numFmt numFmtId="171" formatCode="0.0%"/>
    <numFmt numFmtId="172" formatCode="_-* #,##0.0000_р_._-;\-* #,##0.0000_р_._-;_-* &quot;-&quot;??_р_._-;_-@_-"/>
    <numFmt numFmtId="173" formatCode="\€#,##0.0_);&quot;(€&quot;#,##0.0\);@_)"/>
    <numFmt numFmtId="174" formatCode="#,##0.000\p_);\(#,##0.000\)"/>
    <numFmt numFmtId="175" formatCode="#,##0.000000000000000000000000000000000000000_);\(#,##0.000000000000000000000000000000000000000\);&quot;- &quot;"/>
    <numFmt numFmtId="176" formatCode="* #,##0_);* \(#,##0\);\-??_);@"/>
    <numFmt numFmtId="177" formatCode="\€#,##0;&quot;-€&quot;#,##0"/>
    <numFmt numFmtId="178" formatCode="_-* #,##0_-;\-* #,##0_-;_-* \-??_-;_-@_-"/>
    <numFmt numFmtId="179" formatCode=";;;"/>
    <numFmt numFmtId="180" formatCode="#,##0;[Red]\-#,##0"/>
    <numFmt numFmtId="181" formatCode="#,##0.0000000000000000000000000000000000000000_);\(#,##0.0000000000000000000000000000000000000000\);&quot;- &quot;"/>
    <numFmt numFmtId="182" formatCode="#,##0_);\(#,##0\);&quot;- &quot;"/>
    <numFmt numFmtId="183" formatCode="#,##0.00;[Red]\-#,##0.00"/>
    <numFmt numFmtId="184" formatCode="_(* #,##0_);_(* \(#,##0\);_(* \-_);_(@_)"/>
    <numFmt numFmtId="185" formatCode="#,###_ ;[Black]\(#,##0\);_-* \-"/>
    <numFmt numFmtId="186" formatCode="_-* #,##0.00\ _г_р_н_._-;\-* #,##0.00\ _г_р_н_._-;_-* &quot;-&quot;??\ _г_р_н_._-;_-@_-"/>
    <numFmt numFmtId="187" formatCode="0.0000%"/>
    <numFmt numFmtId="188" formatCode="_(* #,##0_);_(* \(#,##0\);_(* \-??_);_(@_)"/>
    <numFmt numFmtId="189" formatCode="_-* #,##0.00_р_._-;\-* #,##0.00_р_._-;_-* \-??_р_._-;_-@_-"/>
    <numFmt numFmtId="190" formatCode="#,##0_ ;[Blue]\(#,##0\);_-* \-"/>
    <numFmt numFmtId="191" formatCode="0.00;[Red]\-0.00"/>
    <numFmt numFmtId="192" formatCode="[$-419]mmmm\ yyyy;@"/>
    <numFmt numFmtId="193" formatCode="dd\.mm\.yy;@"/>
    <numFmt numFmtId="194" formatCode="#,##0.0_);[Red]\(#,##0.0\)"/>
    <numFmt numFmtId="195" formatCode="#,##0.000000000_);[Red]\(#,##0.000000000\)"/>
  </numFmts>
  <fonts count="101">
    <font>
      <sz val="11"/>
      <color theme="1"/>
      <name val="Calibri"/>
      <family val="2"/>
      <scheme val="minor"/>
    </font>
    <font>
      <b/>
      <sz val="10"/>
      <color indexed="9"/>
      <name val="Garamond"/>
      <family val="1"/>
      <charset val="204"/>
    </font>
    <font>
      <sz val="10"/>
      <color indexed="9"/>
      <name val="Garamond"/>
      <family val="1"/>
      <charset val="204"/>
    </font>
    <font>
      <sz val="10"/>
      <color indexed="8"/>
      <name val="Garamond"/>
      <family val="1"/>
      <charset val="204"/>
    </font>
    <font>
      <b/>
      <sz val="10"/>
      <color indexed="10"/>
      <name val="Garamond"/>
      <family val="1"/>
      <charset val="204"/>
    </font>
    <font>
      <sz val="11"/>
      <color indexed="8"/>
      <name val="Calibri"/>
      <family val="2"/>
    </font>
    <font>
      <b/>
      <i/>
      <sz val="10"/>
      <color indexed="56"/>
      <name val="Garamond"/>
      <family val="1"/>
      <charset val="204"/>
    </font>
    <font>
      <b/>
      <sz val="11"/>
      <color indexed="56"/>
      <name val="Garamond"/>
      <family val="1"/>
      <charset val="204"/>
    </font>
    <font>
      <b/>
      <sz val="10"/>
      <name val="Garamond"/>
      <family val="1"/>
      <charset val="204"/>
    </font>
    <font>
      <b/>
      <sz val="10"/>
      <color indexed="56"/>
      <name val="Garamond"/>
      <family val="1"/>
      <charset val="204"/>
    </font>
    <font>
      <b/>
      <i/>
      <sz val="10"/>
      <color indexed="8"/>
      <name val="Garamond"/>
      <family val="1"/>
      <charset val="204"/>
    </font>
    <font>
      <b/>
      <sz val="10"/>
      <color indexed="8"/>
      <name val="Garamond"/>
      <family val="1"/>
      <charset val="204"/>
    </font>
    <font>
      <sz val="10"/>
      <name val="Garamond"/>
      <family val="1"/>
      <charset val="204"/>
    </font>
    <font>
      <b/>
      <sz val="11"/>
      <color indexed="8"/>
      <name val="Calibri"/>
      <family val="2"/>
    </font>
    <font>
      <b/>
      <sz val="8"/>
      <color indexed="9"/>
      <name val="Garamond"/>
      <family val="1"/>
      <charset val="204"/>
    </font>
    <font>
      <sz val="10"/>
      <color indexed="8"/>
      <name val="Calibri"/>
      <family val="2"/>
    </font>
    <font>
      <b/>
      <sz val="9"/>
      <color indexed="8"/>
      <name val="Garamond"/>
      <family val="1"/>
      <charset val="204"/>
    </font>
    <font>
      <sz val="9"/>
      <color indexed="8"/>
      <name val="Garamond"/>
      <family val="1"/>
      <charset val="204"/>
    </font>
    <font>
      <b/>
      <i/>
      <sz val="10"/>
      <color indexed="60"/>
      <name val="Garamond"/>
      <family val="1"/>
      <charset val="204"/>
    </font>
    <font>
      <i/>
      <sz val="10"/>
      <color indexed="8"/>
      <name val="Garamond"/>
      <family val="1"/>
      <charset val="204"/>
    </font>
    <font>
      <i/>
      <sz val="10"/>
      <name val="Garamond"/>
      <family val="1"/>
      <charset val="204"/>
    </font>
    <font>
      <sz val="10"/>
      <name val="Calibri"/>
      <family val="2"/>
    </font>
    <font>
      <b/>
      <u/>
      <sz val="10"/>
      <name val="Garamond"/>
      <family val="1"/>
      <charset val="204"/>
    </font>
    <font>
      <b/>
      <sz val="10"/>
      <color indexed="8"/>
      <name val="Calibri"/>
      <family val="2"/>
    </font>
    <font>
      <b/>
      <sz val="8"/>
      <color indexed="8"/>
      <name val="Garamond"/>
      <family val="1"/>
      <charset val="204"/>
    </font>
    <font>
      <b/>
      <i/>
      <u/>
      <sz val="10"/>
      <color indexed="8"/>
      <name val="Garamond"/>
      <family val="1"/>
      <charset val="204"/>
    </font>
    <font>
      <i/>
      <u/>
      <sz val="10"/>
      <color indexed="8"/>
      <name val="Garamond"/>
      <family val="1"/>
      <charset val="204"/>
    </font>
    <font>
      <sz val="11"/>
      <color indexed="8"/>
      <name val="Calibri"/>
      <family val="2"/>
      <charset val="204"/>
    </font>
    <font>
      <b/>
      <sz val="22"/>
      <color indexed="18"/>
      <name val="Arial"/>
      <family val="2"/>
      <charset val="204"/>
    </font>
    <font>
      <b/>
      <sz val="14"/>
      <color indexed="18"/>
      <name val="Arial"/>
      <family val="2"/>
      <charset val="204"/>
    </font>
    <font>
      <sz val="11"/>
      <color indexed="9"/>
      <name val="Calibri"/>
      <family val="2"/>
      <charset val="204"/>
    </font>
    <font>
      <sz val="10"/>
      <color indexed="10"/>
      <name val="Times New Roman"/>
      <family val="1"/>
      <charset val="204"/>
    </font>
    <font>
      <b/>
      <sz val="10"/>
      <name val="Times New Roman"/>
      <family val="1"/>
      <charset val="204"/>
    </font>
    <font>
      <sz val="10"/>
      <name val="Times New Roman"/>
      <family val="1"/>
      <charset val="204"/>
    </font>
    <font>
      <b/>
      <sz val="13"/>
      <name val="Arial"/>
      <family val="2"/>
      <charset val="204"/>
    </font>
    <font>
      <sz val="10"/>
      <name val="Times New Roman"/>
      <family val="1"/>
    </font>
    <font>
      <i/>
      <sz val="10"/>
      <color indexed="10"/>
      <name val="Times New Roman"/>
      <family val="1"/>
    </font>
    <font>
      <b/>
      <sz val="10"/>
      <name val="Arial"/>
      <family val="2"/>
      <charset val="204"/>
    </font>
    <font>
      <sz val="10"/>
      <name val="Arial"/>
      <family val="2"/>
      <charset val="204"/>
    </font>
    <font>
      <sz val="10"/>
      <color indexed="12"/>
      <name val="Times New Roman"/>
      <family val="1"/>
      <charset val="204"/>
    </font>
    <font>
      <sz val="10"/>
      <color indexed="50"/>
      <name val="Times New Roman"/>
      <family val="1"/>
    </font>
    <font>
      <b/>
      <sz val="18"/>
      <name val="Times New Roman"/>
      <family val="1"/>
      <charset val="204"/>
    </font>
    <font>
      <i/>
      <sz val="10"/>
      <color indexed="16"/>
      <name val="Times New Roman"/>
      <family val="1"/>
      <charset val="204"/>
    </font>
    <font>
      <b/>
      <sz val="12"/>
      <color indexed="12"/>
      <name val="Arial Narrow"/>
      <family val="2"/>
    </font>
    <font>
      <b/>
      <sz val="14"/>
      <name val="Times New Roman"/>
      <family val="1"/>
      <charset val="204"/>
    </font>
    <font>
      <i/>
      <sz val="10"/>
      <name val="Times New Roman"/>
      <family val="1"/>
      <charset val="204"/>
    </font>
    <font>
      <sz val="11"/>
      <color indexed="62"/>
      <name val="Calibri"/>
      <family val="2"/>
      <charset val="204"/>
    </font>
    <font>
      <b/>
      <sz val="11"/>
      <color indexed="63"/>
      <name val="Calibri"/>
      <family val="2"/>
      <charset val="204"/>
    </font>
    <font>
      <b/>
      <sz val="11"/>
      <color indexed="52"/>
      <name val="Calibri"/>
      <family val="2"/>
      <charset val="204"/>
    </font>
    <font>
      <u/>
      <sz val="10"/>
      <color indexed="12"/>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8"/>
      <name val="Arial"/>
      <family val="2"/>
    </font>
    <font>
      <sz val="8"/>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0"/>
      <name val="Helv"/>
    </font>
    <font>
      <sz val="10"/>
      <name val="Arial"/>
      <family val="2"/>
    </font>
    <font>
      <sz val="10"/>
      <color indexed="8"/>
      <name val="Arial"/>
      <family val="2"/>
    </font>
    <font>
      <sz val="11"/>
      <color indexed="10"/>
      <name val="Calibri"/>
      <family val="2"/>
      <charset val="204"/>
    </font>
    <font>
      <sz val="11"/>
      <color indexed="17"/>
      <name val="Calibri"/>
      <family val="2"/>
      <charset val="204"/>
    </font>
    <font>
      <sz val="8"/>
      <name val="Calibri"/>
      <family val="2"/>
    </font>
    <font>
      <sz val="11"/>
      <color theme="1"/>
      <name val="Calibri"/>
      <family val="2"/>
      <charset val="204"/>
      <scheme val="minor"/>
    </font>
    <font>
      <sz val="11"/>
      <color theme="1"/>
      <name val="Calibri"/>
      <family val="2"/>
      <scheme val="minor"/>
    </font>
    <font>
      <sz val="10"/>
      <color rgb="FFFF0000"/>
      <name val="Garamond"/>
      <family val="1"/>
      <charset val="204"/>
    </font>
    <font>
      <sz val="9"/>
      <name val="Arial"/>
      <family val="2"/>
      <charset val="204"/>
    </font>
    <font>
      <b/>
      <sz val="12"/>
      <name val="Arial"/>
      <family val="2"/>
      <charset val="204"/>
    </font>
    <font>
      <b/>
      <sz val="10"/>
      <color theme="0"/>
      <name val="Garamond"/>
      <family val="1"/>
      <charset val="204"/>
    </font>
    <font>
      <sz val="10"/>
      <color theme="1"/>
      <name val="Garamond"/>
      <family val="1"/>
      <charset val="204"/>
    </font>
    <font>
      <b/>
      <sz val="9"/>
      <color theme="0"/>
      <name val="Garamond"/>
      <family val="1"/>
      <charset val="204"/>
    </font>
    <font>
      <sz val="9"/>
      <color theme="1"/>
      <name val="Garamond"/>
      <family val="1"/>
      <charset val="204"/>
    </font>
    <font>
      <sz val="9"/>
      <color theme="1"/>
      <name val="Calibri"/>
      <family val="2"/>
      <scheme val="minor"/>
    </font>
    <font>
      <b/>
      <sz val="10"/>
      <color theme="3"/>
      <name val="Garamond"/>
      <family val="1"/>
      <charset val="204"/>
    </font>
    <font>
      <b/>
      <sz val="10"/>
      <color theme="1"/>
      <name val="Garamond"/>
      <family val="1"/>
      <charset val="204"/>
    </font>
    <font>
      <sz val="11"/>
      <color theme="1"/>
      <name val="Garamond"/>
      <family val="1"/>
    </font>
    <font>
      <b/>
      <sz val="11"/>
      <color theme="1"/>
      <name val="Garamond"/>
      <family val="1"/>
    </font>
    <font>
      <sz val="10"/>
      <color rgb="FF000000"/>
      <name val="Garamond"/>
      <family val="1"/>
    </font>
    <font>
      <sz val="10"/>
      <color indexed="8"/>
      <name val="Garamond"/>
      <family val="1"/>
    </font>
    <font>
      <b/>
      <sz val="10"/>
      <color rgb="FF000000"/>
      <name val="Garamond"/>
      <family val="1"/>
    </font>
    <font>
      <b/>
      <sz val="10"/>
      <color indexed="8"/>
      <name val="Garamond"/>
      <family val="1"/>
    </font>
    <font>
      <sz val="10"/>
      <color theme="1"/>
      <name val="Garamond"/>
      <family val="1"/>
    </font>
    <font>
      <b/>
      <sz val="10"/>
      <color theme="1"/>
      <name val="Garamond"/>
      <family val="1"/>
    </font>
    <font>
      <b/>
      <sz val="11"/>
      <color rgb="FF002060"/>
      <name val="Garamond"/>
      <family val="1"/>
    </font>
    <font>
      <sz val="10"/>
      <name val="Garamond"/>
      <family val="1"/>
    </font>
    <font>
      <b/>
      <sz val="10"/>
      <color rgb="FFFF0000"/>
      <name val="Garamond"/>
      <family val="1"/>
      <charset val="204"/>
    </font>
    <font>
      <sz val="11"/>
      <color indexed="8"/>
      <name val="Garamond"/>
      <family val="1"/>
      <charset val="204"/>
    </font>
    <font>
      <b/>
      <sz val="10"/>
      <name val="Garamond"/>
      <family val="1"/>
    </font>
    <font>
      <u/>
      <sz val="10"/>
      <color indexed="8"/>
      <name val="Garamond"/>
      <family val="1"/>
      <charset val="204"/>
    </font>
    <font>
      <sz val="7"/>
      <name val="Arial"/>
      <family val="2"/>
      <charset val="204"/>
    </font>
    <font>
      <b/>
      <sz val="9"/>
      <name val="Garamond"/>
      <family val="1"/>
    </font>
    <font>
      <sz val="8"/>
      <name val="Garamond"/>
      <family val="1"/>
    </font>
    <font>
      <sz val="9"/>
      <name val="Garamond"/>
      <family val="1"/>
    </font>
    <font>
      <b/>
      <sz val="12"/>
      <name val="Garamond"/>
      <family val="1"/>
    </font>
    <font>
      <sz val="10"/>
      <color rgb="FFC00000"/>
      <name val="Garamond"/>
      <family val="1"/>
      <charset val="204"/>
    </font>
  </fonts>
  <fills count="3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1"/>
        <bgColor indexed="9"/>
      </patternFill>
    </fill>
    <fill>
      <patternFill patternType="solid">
        <fgColor indexed="13"/>
        <bgColor indexed="26"/>
      </patternFill>
    </fill>
    <fill>
      <patternFill patternType="solid">
        <fgColor indexed="22"/>
        <bgColor indexed="31"/>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13"/>
      </patternFill>
    </fill>
    <fill>
      <patternFill patternType="solid">
        <fgColor indexed="13"/>
        <bgColor indexed="64"/>
      </patternFill>
    </fill>
    <fill>
      <patternFill patternType="solid">
        <fgColor theme="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rgb="FFFFFF00"/>
        <bgColor indexed="64"/>
      </patternFill>
    </fill>
    <fill>
      <patternFill patternType="solid">
        <fgColor indexed="23"/>
        <bgColor indexed="64"/>
      </patternFill>
    </fill>
    <fill>
      <patternFill patternType="solid">
        <fgColor theme="4" tint="0.79998168889431442"/>
        <bgColor indexed="64"/>
      </patternFill>
    </fill>
    <fill>
      <patternFill patternType="solid">
        <fgColor theme="9" tint="0.79998168889431442"/>
        <bgColor indexed="64"/>
      </patternFill>
    </fill>
  </fills>
  <borders count="75">
    <border>
      <left/>
      <right/>
      <top/>
      <bottom/>
      <diagonal/>
    </border>
    <border>
      <left style="medium">
        <color indexed="12"/>
      </left>
      <right style="medium">
        <color indexed="12"/>
      </right>
      <top style="medium">
        <color indexed="12"/>
      </top>
      <bottom style="medium">
        <color indexed="12"/>
      </bottom>
      <diagonal/>
    </border>
    <border>
      <left/>
      <right/>
      <top style="thin">
        <color indexed="8"/>
      </top>
      <bottom/>
      <diagonal/>
    </border>
    <border>
      <left/>
      <right/>
      <top style="thin">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56"/>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56"/>
      </bottom>
      <diagonal/>
    </border>
    <border>
      <left style="dashed">
        <color indexed="9"/>
      </left>
      <right/>
      <top style="thin">
        <color indexed="9"/>
      </top>
      <bottom/>
      <diagonal/>
    </border>
    <border>
      <left/>
      <right/>
      <top style="thin">
        <color indexed="9"/>
      </top>
      <bottom/>
      <diagonal/>
    </border>
    <border>
      <left/>
      <right style="dashed">
        <color indexed="9"/>
      </right>
      <top style="thin">
        <color indexed="9"/>
      </top>
      <bottom/>
      <diagonal/>
    </border>
    <border>
      <left style="dashed">
        <color indexed="9"/>
      </left>
      <right/>
      <top/>
      <bottom style="thin">
        <color indexed="9"/>
      </bottom>
      <diagonal/>
    </border>
    <border>
      <left/>
      <right/>
      <top/>
      <bottom style="thin">
        <color indexed="9"/>
      </bottom>
      <diagonal/>
    </border>
    <border>
      <left/>
      <right style="dashed">
        <color indexed="9"/>
      </right>
      <top/>
      <bottom style="thin">
        <color indexed="9"/>
      </bottom>
      <diagonal/>
    </border>
    <border>
      <left/>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33CCCC"/>
      </left>
      <right style="thin">
        <color rgb="FF33CCCC"/>
      </right>
      <top style="thin">
        <color rgb="FF33CCCC"/>
      </top>
      <bottom style="thin">
        <color rgb="FF33CCCC"/>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top style="double">
        <color indexed="64"/>
      </top>
      <bottom/>
      <diagonal/>
    </border>
  </borders>
  <cellStyleXfs count="711">
    <xf numFmtId="0" fontId="0" fillId="0" borderId="0"/>
    <xf numFmtId="173" fontId="27" fillId="0" borderId="0" applyFill="0" applyBorder="0" applyAlignment="0" applyProtection="0"/>
    <xf numFmtId="0" fontId="28" fillId="0" borderId="0" applyNumberFormat="0" applyFill="0" applyBorder="0" applyAlignment="0" applyProtection="0"/>
    <xf numFmtId="0" fontId="29" fillId="0" borderId="0" applyNumberFormat="0" applyFill="0" applyBorder="0" applyProtection="0">
      <alignment vertical="top"/>
    </xf>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0" borderId="1" applyNumberFormat="0" applyFill="0" applyAlignment="0" applyProtection="0"/>
    <xf numFmtId="0" fontId="32" fillId="0" borderId="0" applyFill="0" applyBorder="0" applyProtection="0">
      <alignment horizontal="left"/>
    </xf>
    <xf numFmtId="0" fontId="33" fillId="0" borderId="0" applyNumberFormat="0" applyFill="0" applyBorder="0" applyAlignment="0" applyProtection="0"/>
    <xf numFmtId="0" fontId="32" fillId="16" borderId="0" applyNumberFormat="0" applyBorder="0" applyProtection="0">
      <alignment horizontal="center" vertical="center" wrapText="1"/>
    </xf>
    <xf numFmtId="0" fontId="34" fillId="0" borderId="0" applyFill="0" applyBorder="0" applyAlignment="0" applyProtection="0"/>
    <xf numFmtId="174" fontId="27" fillId="0" borderId="0" applyFill="0" applyBorder="0" applyAlignment="0" applyProtection="0"/>
    <xf numFmtId="175" fontId="27" fillId="0" borderId="0" applyFill="0" applyBorder="0" applyAlignment="0" applyProtection="0"/>
    <xf numFmtId="176" fontId="35" fillId="0" borderId="0" applyFill="0" applyBorder="0" applyProtection="0"/>
    <xf numFmtId="176" fontId="35" fillId="0" borderId="2" applyFill="0" applyProtection="0"/>
    <xf numFmtId="176" fontId="35" fillId="0" borderId="3" applyFill="0" applyProtection="0"/>
    <xf numFmtId="2" fontId="36" fillId="0" borderId="0"/>
    <xf numFmtId="177" fontId="27" fillId="0" borderId="0" applyFill="0" applyBorder="0" applyAlignment="0" applyProtection="0"/>
    <xf numFmtId="0" fontId="33" fillId="0" borderId="0" applyFill="0" applyBorder="0" applyProtection="0">
      <alignment horizontal="left"/>
    </xf>
    <xf numFmtId="0" fontId="37" fillId="0" borderId="4" applyFill="0" applyAlignment="0" applyProtection="0"/>
    <xf numFmtId="0" fontId="33" fillId="0" borderId="0" applyFill="0" applyBorder="0" applyProtection="0">
      <alignment horizontal="right"/>
    </xf>
    <xf numFmtId="0" fontId="31" fillId="0" borderId="0" applyNumberFormat="0" applyFill="0" applyBorder="0" applyAlignment="0" applyProtection="0"/>
    <xf numFmtId="0" fontId="38" fillId="0" borderId="0" applyNumberFormat="0" applyFill="0" applyBorder="0" applyProtection="0">
      <alignment horizontal="left" vertical="center"/>
    </xf>
    <xf numFmtId="0" fontId="39" fillId="0" borderId="0" applyNumberFormat="0" applyFill="0" applyAlignment="0" applyProtection="0"/>
    <xf numFmtId="9" fontId="36" fillId="0" borderId="0" applyAlignment="0"/>
    <xf numFmtId="0" fontId="40" fillId="0" borderId="0" applyNumberFormat="0" applyBorder="0" applyProtection="0"/>
    <xf numFmtId="178" fontId="39" fillId="0" borderId="0"/>
    <xf numFmtId="0" fontId="39" fillId="4" borderId="0" applyNumberFormat="0" applyBorder="0" applyProtection="0">
      <alignment horizontal="center" vertical="center"/>
    </xf>
    <xf numFmtId="0" fontId="41" fillId="0" borderId="0" applyNumberFormat="0" applyFill="0" applyBorder="0" applyProtection="0">
      <alignment horizontal="left" vertical="center"/>
    </xf>
    <xf numFmtId="0" fontId="27" fillId="0" borderId="0" applyFill="0" applyBorder="0" applyAlignment="0" applyProtection="0"/>
    <xf numFmtId="0" fontId="27" fillId="0" borderId="0" applyFill="0" applyBorder="0" applyAlignment="0" applyProtection="0"/>
    <xf numFmtId="179" fontId="27" fillId="0" borderId="0" applyFill="0" applyBorder="0" applyAlignment="0" applyProtection="0"/>
    <xf numFmtId="0" fontId="27" fillId="0" borderId="0" applyFill="0" applyBorder="0" applyAlignment="0" applyProtection="0"/>
    <xf numFmtId="0" fontId="42" fillId="0" borderId="0" applyNumberFormat="0" applyFill="0" applyBorder="0" applyProtection="0">
      <alignment horizontal="left"/>
    </xf>
    <xf numFmtId="0" fontId="38" fillId="0" borderId="0" applyNumberFormat="0" applyFill="0" applyBorder="0" applyAlignment="0" applyProtection="0"/>
    <xf numFmtId="180" fontId="27" fillId="0" borderId="0" applyFill="0" applyBorder="0" applyAlignment="0" applyProtection="0"/>
    <xf numFmtId="0" fontId="27" fillId="17" borderId="0" applyNumberFormat="0" applyBorder="0" applyAlignment="0" applyProtection="0"/>
    <xf numFmtId="181" fontId="27" fillId="0" borderId="0" applyFill="0" applyBorder="0" applyAlignment="0" applyProtection="0"/>
    <xf numFmtId="0" fontId="32" fillId="16" borderId="0" applyNumberFormat="0" applyBorder="0" applyProtection="0">
      <alignment horizontal="left" wrapText="1"/>
    </xf>
    <xf numFmtId="0" fontId="43" fillId="0" borderId="5">
      <alignment horizontal="center" vertical="center"/>
    </xf>
    <xf numFmtId="0" fontId="44" fillId="0" borderId="0" applyNumberFormat="0" applyFill="0" applyBorder="0" applyProtection="0">
      <alignment horizontal="left" vertical="center"/>
    </xf>
    <xf numFmtId="0" fontId="27" fillId="18" borderId="0" applyNumberFormat="0" applyBorder="0" applyAlignment="0" applyProtection="0"/>
    <xf numFmtId="182" fontId="27" fillId="0" borderId="0" applyFill="0" applyBorder="0" applyAlignment="0" applyProtection="0"/>
    <xf numFmtId="0" fontId="38" fillId="0" borderId="0" applyFill="0" applyBorder="0">
      <alignment horizontal="center"/>
    </xf>
    <xf numFmtId="183" fontId="27" fillId="0" borderId="0" applyFill="0" applyBorder="0" applyAlignment="0" applyProtection="0"/>
    <xf numFmtId="0" fontId="27" fillId="0" borderId="0" applyFill="0" applyBorder="0" applyAlignment="0" applyProtection="0"/>
    <xf numFmtId="0" fontId="32" fillId="16" borderId="0" applyNumberFormat="0" applyBorder="0" applyProtection="0">
      <alignment horizontal="left" vertical="center"/>
    </xf>
    <xf numFmtId="0" fontId="27" fillId="0" borderId="6" applyNumberFormat="0" applyFill="0" applyAlignment="0" applyProtection="0"/>
    <xf numFmtId="0" fontId="45" fillId="0" borderId="0" applyFill="0" applyBorder="0" applyProtection="0">
      <alignment horizontal="right"/>
    </xf>
    <xf numFmtId="0" fontId="33" fillId="16" borderId="0" applyNumberFormat="0" applyBorder="0" applyProtection="0">
      <alignment horizontal="left"/>
    </xf>
    <xf numFmtId="1" fontId="33" fillId="0" borderId="0" applyFill="0" applyBorder="0" applyProtection="0">
      <alignment horizont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9" fillId="0" borderId="0" applyNumberFormat="0" applyFill="0" applyBorder="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8" fillId="0" borderId="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0" fillId="0" borderId="0"/>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57" fillId="0" borderId="0"/>
    <xf numFmtId="0" fontId="38" fillId="0" borderId="0">
      <alignment horizontal="left"/>
    </xf>
    <xf numFmtId="0" fontId="38" fillId="0" borderId="0"/>
    <xf numFmtId="0" fontId="38" fillId="0" borderId="0"/>
    <xf numFmtId="0" fontId="38" fillId="0" borderId="0"/>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xf numFmtId="0" fontId="57" fillId="0" borderId="0"/>
    <xf numFmtId="0" fontId="57" fillId="0" borderId="0"/>
    <xf numFmtId="0" fontId="38" fillId="0" borderId="0"/>
    <xf numFmtId="0" fontId="27" fillId="0" borderId="0"/>
    <xf numFmtId="0" fontId="27" fillId="0" borderId="0"/>
    <xf numFmtId="0" fontId="58" fillId="0" borderId="0"/>
    <xf numFmtId="0" fontId="70" fillId="0" borderId="0"/>
    <xf numFmtId="0" fontId="6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 fillId="0" borderId="0"/>
    <xf numFmtId="0" fontId="38" fillId="0" borderId="0"/>
    <xf numFmtId="0" fontId="38" fillId="0" borderId="0"/>
    <xf numFmtId="0" fontId="38" fillId="0" borderId="0"/>
    <xf numFmtId="0" fontId="38" fillId="0" borderId="0"/>
    <xf numFmtId="0" fontId="38" fillId="0" borderId="0"/>
    <xf numFmtId="0" fontId="38" fillId="0" borderId="0"/>
    <xf numFmtId="0" fontId="59" fillId="0" borderId="0">
      <alignment horizontal="left"/>
    </xf>
    <xf numFmtId="0" fontId="2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0" borderId="0"/>
    <xf numFmtId="0" fontId="38" fillId="0" borderId="0"/>
    <xf numFmtId="0" fontId="38" fillId="0" borderId="0"/>
    <xf numFmtId="0" fontId="38" fillId="0" borderId="0"/>
    <xf numFmtId="0" fontId="38" fillId="0" borderId="0"/>
    <xf numFmtId="0" fontId="27"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0" borderId="0"/>
    <xf numFmtId="0" fontId="57" fillId="0" borderId="0"/>
    <xf numFmtId="0" fontId="38" fillId="0" borderId="0"/>
    <xf numFmtId="0" fontId="38" fillId="0" borderId="0"/>
    <xf numFmtId="0" fontId="38" fillId="0" borderId="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9" fontId="5"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3" fillId="0" borderId="0"/>
    <xf numFmtId="0" fontId="64" fillId="0" borderId="0"/>
    <xf numFmtId="0" fontId="64" fillId="0" borderId="0"/>
    <xf numFmtId="0" fontId="64" fillId="0" borderId="0"/>
    <xf numFmtId="0" fontId="6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43" fontId="5" fillId="0" borderId="0" applyFont="0" applyFill="0" applyBorder="0" applyAlignment="0" applyProtection="0"/>
    <xf numFmtId="179" fontId="27" fillId="0" borderId="0" applyFill="0" applyBorder="0" applyAlignment="0" applyProtection="0"/>
    <xf numFmtId="184" fontId="27" fillId="0" borderId="0" applyFill="0" applyBorder="0" applyAlignment="0" applyProtection="0"/>
    <xf numFmtId="185" fontId="27" fillId="0" borderId="0" applyFill="0" applyBorder="0" applyAlignment="0" applyProtection="0"/>
    <xf numFmtId="186" fontId="27" fillId="0" borderId="0" applyFont="0" applyFill="0" applyBorder="0" applyAlignment="0" applyProtection="0"/>
    <xf numFmtId="178" fontId="27" fillId="0" borderId="0" applyFill="0" applyBorder="0" applyAlignment="0" applyProtection="0"/>
    <xf numFmtId="187" fontId="27" fillId="0" borderId="0" applyFill="0" applyBorder="0" applyAlignment="0" applyProtection="0"/>
    <xf numFmtId="188" fontId="27" fillId="0" borderId="0" applyFill="0" applyBorder="0" applyAlignment="0" applyProtection="0"/>
    <xf numFmtId="189" fontId="27" fillId="0" borderId="0" applyFill="0" applyBorder="0" applyAlignment="0" applyProtection="0"/>
    <xf numFmtId="189" fontId="27" fillId="0" borderId="0" applyFill="0" applyBorder="0" applyAlignment="0" applyProtection="0"/>
    <xf numFmtId="190" fontId="27" fillId="0" borderId="0" applyFill="0" applyBorder="0" applyAlignment="0" applyProtection="0"/>
    <xf numFmtId="176" fontId="27" fillId="0" borderId="0" applyFill="0" applyBorder="0" applyAlignment="0" applyProtection="0"/>
    <xf numFmtId="189" fontId="27" fillId="0" borderId="0" applyFill="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cellStyleXfs>
  <cellXfs count="794">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3" fillId="0" borderId="0" xfId="0" applyFont="1" applyFill="1"/>
    <xf numFmtId="168" fontId="1" fillId="0" borderId="0" xfId="685" applyNumberFormat="1" applyFont="1" applyFill="1"/>
    <xf numFmtId="0" fontId="6" fillId="0" borderId="0" xfId="0" applyFont="1" applyFill="1" applyAlignment="1"/>
    <xf numFmtId="0" fontId="6" fillId="0" borderId="0" xfId="0" applyFont="1" applyFill="1"/>
    <xf numFmtId="0" fontId="10" fillId="0" borderId="0" xfId="0" applyFont="1" applyFill="1"/>
    <xf numFmtId="0" fontId="3" fillId="0" borderId="0" xfId="0" applyFont="1" applyFill="1" applyAlignment="1"/>
    <xf numFmtId="0" fontId="10" fillId="0" borderId="0" xfId="0" applyFont="1" applyFill="1" applyAlignment="1"/>
    <xf numFmtId="0" fontId="3" fillId="0" borderId="16" xfId="0" applyFont="1" applyFill="1" applyBorder="1"/>
    <xf numFmtId="0" fontId="9" fillId="0" borderId="16" xfId="0" applyFont="1" applyFill="1" applyBorder="1" applyAlignment="1">
      <alignment horizontal="center"/>
    </xf>
    <xf numFmtId="0" fontId="3" fillId="0" borderId="0" xfId="0" applyFont="1" applyFill="1" applyAlignment="1">
      <alignment horizontal="justify" vertical="top"/>
    </xf>
    <xf numFmtId="14" fontId="1" fillId="0" borderId="0" xfId="0" applyNumberFormat="1" applyFont="1" applyFill="1" applyAlignment="1">
      <alignment horizontal="center"/>
    </xf>
    <xf numFmtId="168" fontId="1" fillId="0" borderId="0" xfId="0" applyNumberFormat="1" applyFont="1" applyFill="1" applyAlignment="1">
      <alignment horizontal="center"/>
    </xf>
    <xf numFmtId="0" fontId="0" fillId="0" borderId="0" xfId="0" applyFill="1" applyAlignment="1"/>
    <xf numFmtId="0" fontId="1" fillId="0" borderId="0" xfId="0" applyFont="1" applyFill="1"/>
    <xf numFmtId="0" fontId="2" fillId="0" borderId="0" xfId="0" applyFont="1" applyFill="1"/>
    <xf numFmtId="0" fontId="3" fillId="0" borderId="0" xfId="0" applyFont="1" applyFill="1" applyBorder="1" applyAlignment="1"/>
    <xf numFmtId="166" fontId="3" fillId="0" borderId="0" xfId="0" applyNumberFormat="1" applyFont="1" applyFill="1"/>
    <xf numFmtId="0" fontId="12" fillId="0" borderId="0" xfId="0" applyFont="1" applyFill="1"/>
    <xf numFmtId="166" fontId="8" fillId="0" borderId="0" xfId="685" applyNumberFormat="1" applyFont="1" applyFill="1" applyBorder="1" applyAlignment="1">
      <alignment horizontal="right"/>
    </xf>
    <xf numFmtId="0" fontId="14" fillId="0" borderId="0" xfId="0" applyFont="1" applyFill="1" applyAlignment="1">
      <alignment horizontal="center"/>
    </xf>
    <xf numFmtId="166" fontId="12" fillId="0" borderId="0" xfId="685" applyNumberFormat="1" applyFont="1" applyFill="1" applyBorder="1" applyAlignment="1">
      <alignment horizontal="right"/>
    </xf>
    <xf numFmtId="0" fontId="11" fillId="0" borderId="0" xfId="0" applyFont="1" applyFill="1" applyBorder="1" applyAlignment="1">
      <alignment wrapText="1"/>
    </xf>
    <xf numFmtId="166" fontId="1" fillId="0" borderId="0" xfId="0" applyNumberFormat="1" applyFont="1" applyFill="1" applyAlignment="1">
      <alignment horizontal="center"/>
    </xf>
    <xf numFmtId="168" fontId="3" fillId="0" borderId="0" xfId="0" applyNumberFormat="1" applyFont="1" applyFill="1"/>
    <xf numFmtId="169" fontId="1" fillId="0" borderId="0" xfId="0" applyNumberFormat="1" applyFont="1" applyFill="1" applyAlignment="1">
      <alignment horizontal="center"/>
    </xf>
    <xf numFmtId="0" fontId="3" fillId="0" borderId="0" xfId="0" applyFont="1" applyFill="1" applyBorder="1"/>
    <xf numFmtId="0" fontId="3" fillId="0" borderId="0" xfId="0" applyFont="1" applyFill="1" applyAlignment="1">
      <alignment horizontal="left" vertical="top" wrapText="1"/>
    </xf>
    <xf numFmtId="0" fontId="11" fillId="0" borderId="0" xfId="0" applyFont="1" applyFill="1" applyAlignment="1">
      <alignment horizontal="left" vertical="top" wrapText="1"/>
    </xf>
    <xf numFmtId="0" fontId="8" fillId="0" borderId="0" xfId="0" applyFont="1" applyFill="1" applyAlignment="1">
      <alignment vertical="top" wrapText="1"/>
    </xf>
    <xf numFmtId="0" fontId="12" fillId="0" borderId="0" xfId="0" applyFont="1" applyFill="1" applyBorder="1"/>
    <xf numFmtId="0" fontId="11" fillId="0" borderId="0" xfId="0" applyFont="1" applyFill="1" applyAlignment="1">
      <alignment vertical="top" wrapText="1"/>
    </xf>
    <xf numFmtId="0" fontId="11" fillId="0" borderId="0" xfId="0" applyNumberFormat="1" applyFont="1" applyFill="1" applyBorder="1" applyAlignment="1">
      <alignment vertical="center" wrapText="1"/>
    </xf>
    <xf numFmtId="0" fontId="11" fillId="0" borderId="0" xfId="0" applyFont="1" applyFill="1" applyBorder="1" applyAlignment="1">
      <alignment vertical="center" wrapText="1"/>
    </xf>
    <xf numFmtId="166" fontId="11" fillId="0" borderId="0" xfId="0" applyNumberFormat="1" applyFont="1" applyFill="1" applyBorder="1" applyAlignment="1">
      <alignment vertical="center"/>
    </xf>
    <xf numFmtId="166" fontId="3" fillId="0" borderId="0" xfId="0" applyNumberFormat="1" applyFont="1" applyFill="1" applyBorder="1" applyAlignment="1"/>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166" fontId="11" fillId="0" borderId="0" xfId="0" applyNumberFormat="1" applyFont="1" applyFill="1" applyBorder="1" applyAlignment="1"/>
    <xf numFmtId="0" fontId="11" fillId="0" borderId="0" xfId="0" applyFont="1" applyFill="1" applyBorder="1" applyAlignment="1">
      <alignment horizontal="left" vertical="center"/>
    </xf>
    <xf numFmtId="166" fontId="0" fillId="0" borderId="0" xfId="0" applyNumberFormat="1" applyFill="1" applyBorder="1" applyAlignment="1"/>
    <xf numFmtId="0" fontId="3" fillId="0" borderId="0" xfId="0" applyFont="1" applyFill="1" applyBorder="1" applyAlignment="1">
      <alignment horizontal="justify" vertical="top"/>
    </xf>
    <xf numFmtId="0" fontId="1" fillId="26" borderId="0" xfId="0" applyFont="1" applyFill="1" applyAlignment="1">
      <alignment horizontal="center"/>
    </xf>
    <xf numFmtId="0" fontId="2" fillId="26" borderId="0" xfId="0" applyFont="1" applyFill="1" applyAlignment="1">
      <alignment horizontal="center"/>
    </xf>
    <xf numFmtId="0" fontId="3" fillId="26" borderId="0" xfId="0" applyFont="1" applyFill="1"/>
    <xf numFmtId="166" fontId="12" fillId="0" borderId="0" xfId="685" applyNumberFormat="1" applyFont="1" applyFill="1" applyBorder="1" applyAlignment="1"/>
    <xf numFmtId="168" fontId="2" fillId="0" borderId="0" xfId="685" applyNumberFormat="1" applyFont="1" applyFill="1" applyAlignment="1">
      <alignment horizontal="center"/>
    </xf>
    <xf numFmtId="168" fontId="2" fillId="26" borderId="0" xfId="685" applyNumberFormat="1" applyFont="1" applyFill="1" applyAlignment="1">
      <alignment horizontal="center"/>
    </xf>
    <xf numFmtId="0" fontId="1" fillId="26" borderId="0" xfId="0" applyFont="1" applyFill="1"/>
    <xf numFmtId="0" fontId="2" fillId="26" borderId="0" xfId="0" applyFont="1" applyFill="1"/>
    <xf numFmtId="0" fontId="3" fillId="0" borderId="0" xfId="544" applyFont="1" applyFill="1" applyAlignment="1">
      <alignment horizontal="justify" vertical="top" wrapText="1"/>
    </xf>
    <xf numFmtId="0" fontId="12" fillId="0" borderId="0" xfId="0" applyFont="1" applyFill="1" applyAlignment="1">
      <alignment horizontal="justify" vertical="top" wrapText="1"/>
    </xf>
    <xf numFmtId="0" fontId="3" fillId="0" borderId="0" xfId="0" applyFont="1" applyFill="1" applyAlignment="1">
      <alignment horizontal="justify" vertical="top" wrapText="1"/>
    </xf>
    <xf numFmtId="0" fontId="11" fillId="0" borderId="0" xfId="517"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Alignment="1">
      <alignment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11" fillId="0" borderId="0" xfId="0" applyFont="1" applyFill="1" applyBorder="1" applyAlignment="1">
      <alignment horizontal="center" vertical="center" wrapText="1"/>
    </xf>
    <xf numFmtId="9" fontId="3" fillId="0" borderId="0" xfId="648" applyFont="1" applyFill="1"/>
    <xf numFmtId="9" fontId="1" fillId="0" borderId="0" xfId="648" applyFont="1" applyFill="1" applyAlignment="1">
      <alignment horizontal="center"/>
    </xf>
    <xf numFmtId="9" fontId="1" fillId="26" borderId="0" xfId="648" applyFont="1" applyFill="1" applyAlignment="1">
      <alignment horizontal="center"/>
    </xf>
    <xf numFmtId="3" fontId="2" fillId="26" borderId="0" xfId="0" applyNumberFormat="1" applyFont="1" applyFill="1" applyAlignment="1">
      <alignment horizontal="center"/>
    </xf>
    <xf numFmtId="171" fontId="1" fillId="26" borderId="0" xfId="648" applyNumberFormat="1" applyFont="1" applyFill="1" applyAlignment="1">
      <alignment horizontal="center"/>
    </xf>
    <xf numFmtId="0" fontId="1" fillId="0" borderId="17" xfId="0" applyFont="1" applyFill="1" applyBorder="1" applyAlignment="1">
      <alignment horizontal="center"/>
    </xf>
    <xf numFmtId="0" fontId="2" fillId="0" borderId="17" xfId="0" applyFont="1" applyFill="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21" fillId="0" borderId="0" xfId="0" applyFont="1" applyFill="1" applyBorder="1" applyAlignment="1">
      <alignment horizontal="right"/>
    </xf>
    <xf numFmtId="168" fontId="11" fillId="0" borderId="0" xfId="685" applyNumberFormat="1" applyFont="1" applyFill="1"/>
    <xf numFmtId="166" fontId="11" fillId="0" borderId="0" xfId="685" applyNumberFormat="1" applyFont="1" applyFill="1" applyBorder="1" applyAlignment="1">
      <alignment vertical="center"/>
    </xf>
    <xf numFmtId="0" fontId="3" fillId="0" borderId="0" xfId="0" applyFont="1" applyFill="1" applyBorder="1" applyAlignment="1">
      <alignment horizontal="center" vertical="center" wrapText="1"/>
    </xf>
    <xf numFmtId="171" fontId="3" fillId="0" borderId="0" xfId="648" applyNumberFormat="1" applyFont="1" applyFill="1" applyBorder="1" applyAlignment="1">
      <alignment horizontal="center" vertical="center" wrapText="1"/>
    </xf>
    <xf numFmtId="166" fontId="3" fillId="0" borderId="0" xfId="685" applyNumberFormat="1" applyFont="1" applyFill="1" applyBorder="1" applyAlignment="1">
      <alignment horizontal="right" vertical="center" wrapText="1"/>
    </xf>
    <xf numFmtId="166" fontId="3" fillId="0" borderId="0" xfId="685" applyNumberFormat="1" applyFont="1" applyFill="1" applyAlignment="1">
      <alignment vertical="center"/>
    </xf>
    <xf numFmtId="166" fontId="3" fillId="0" borderId="0" xfId="685" applyNumberFormat="1" applyFont="1" applyFill="1" applyBorder="1" applyAlignment="1">
      <alignment vertical="center"/>
    </xf>
    <xf numFmtId="168" fontId="1" fillId="0" borderId="0" xfId="685" applyNumberFormat="1" applyFont="1" applyFill="1" applyAlignment="1">
      <alignment horizontal="center"/>
    </xf>
    <xf numFmtId="172" fontId="1" fillId="0" borderId="0" xfId="685" applyNumberFormat="1" applyFont="1" applyFill="1" applyAlignment="1">
      <alignment horizontal="center"/>
    </xf>
    <xf numFmtId="1" fontId="1" fillId="0" borderId="0" xfId="0" applyNumberFormat="1" applyFont="1" applyFill="1" applyAlignment="1">
      <alignment horizontal="center"/>
    </xf>
    <xf numFmtId="0" fontId="3" fillId="0" borderId="0" xfId="0" applyFont="1" applyFill="1" applyBorder="1" applyAlignment="1">
      <alignment vertical="center" wrapText="1"/>
    </xf>
    <xf numFmtId="0" fontId="16" fillId="0" borderId="0" xfId="0" applyNumberFormat="1" applyFont="1" applyFill="1" applyBorder="1" applyAlignment="1">
      <alignment vertical="center" wrapText="1"/>
    </xf>
    <xf numFmtId="0" fontId="16" fillId="0" borderId="0" xfId="0" applyFont="1" applyFill="1" applyBorder="1" applyAlignment="1">
      <alignment vertical="center" wrapText="1"/>
    </xf>
    <xf numFmtId="0" fontId="16" fillId="0" borderId="17" xfId="0" applyNumberFormat="1" applyFont="1" applyFill="1" applyBorder="1" applyAlignment="1">
      <alignment vertical="center" wrapText="1"/>
    </xf>
    <xf numFmtId="0" fontId="16" fillId="0" borderId="17" xfId="0" applyFont="1" applyFill="1" applyBorder="1" applyAlignment="1">
      <alignment vertical="center" wrapText="1"/>
    </xf>
    <xf numFmtId="166" fontId="11" fillId="0" borderId="19" xfId="0" applyNumberFormat="1" applyFont="1" applyFill="1" applyBorder="1" applyAlignment="1"/>
    <xf numFmtId="166" fontId="3" fillId="0" borderId="19" xfId="0" applyNumberFormat="1" applyFont="1" applyFill="1" applyBorder="1" applyAlignment="1"/>
    <xf numFmtId="0" fontId="3" fillId="0" borderId="19" xfId="0" applyFont="1" applyFill="1" applyBorder="1" applyAlignment="1">
      <alignment horizontal="left" vertical="center" wrapText="1"/>
    </xf>
    <xf numFmtId="0" fontId="3" fillId="0" borderId="18" xfId="0" applyFont="1" applyFill="1" applyBorder="1" applyAlignment="1"/>
    <xf numFmtId="0" fontId="3" fillId="0" borderId="17" xfId="0" applyFont="1" applyFill="1" applyBorder="1" applyAlignment="1"/>
    <xf numFmtId="0" fontId="3" fillId="0" borderId="0" xfId="0" applyFont="1" applyFill="1"/>
    <xf numFmtId="0" fontId="3" fillId="0" borderId="0" xfId="0" applyFont="1" applyFill="1" applyAlignment="1"/>
    <xf numFmtId="0" fontId="3" fillId="0" borderId="0" xfId="0" applyFont="1" applyFill="1" applyAlignment="1">
      <alignment horizontal="justify" vertical="top" wrapText="1"/>
    </xf>
    <xf numFmtId="0" fontId="3" fillId="0" borderId="0" xfId="0" applyFont="1" applyFill="1" applyAlignment="1">
      <alignment horizontal="left" vertical="top" wrapText="1"/>
    </xf>
    <xf numFmtId="0" fontId="3" fillId="0" borderId="0" xfId="0" applyFont="1" applyFill="1"/>
    <xf numFmtId="166" fontId="3" fillId="0" borderId="0" xfId="0" applyNumberFormat="1" applyFont="1" applyFill="1" applyBorder="1" applyAlignment="1">
      <alignment horizontal="center"/>
    </xf>
    <xf numFmtId="0" fontId="3" fillId="0" borderId="0" xfId="0" applyFont="1" applyFill="1" applyAlignment="1">
      <alignment horizontal="justify" vertical="top" wrapText="1"/>
    </xf>
    <xf numFmtId="0" fontId="3" fillId="0" borderId="0" xfId="0" applyFont="1" applyFill="1" applyAlignment="1">
      <alignment horizontal="left" vertical="top" wrapText="1"/>
    </xf>
    <xf numFmtId="0" fontId="9" fillId="0" borderId="16"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166" fontId="12" fillId="0" borderId="0" xfId="685" applyNumberFormat="1" applyFont="1" applyFill="1" applyBorder="1" applyAlignment="1">
      <alignment horizontal="right"/>
    </xf>
    <xf numFmtId="0" fontId="3" fillId="0" borderId="0" xfId="0" applyFont="1" applyFill="1"/>
    <xf numFmtId="0" fontId="12" fillId="0" borderId="0" xfId="0" applyFont="1" applyFill="1"/>
    <xf numFmtId="166" fontId="12" fillId="0" borderId="0" xfId="685" applyNumberFormat="1" applyFont="1" applyFill="1" applyAlignment="1">
      <alignment horizontal="right"/>
    </xf>
    <xf numFmtId="0" fontId="0" fillId="0" borderId="0" xfId="0" applyFill="1" applyAlignment="1"/>
    <xf numFmtId="0" fontId="3" fillId="0" borderId="0" xfId="0" applyFont="1" applyFill="1" applyAlignment="1"/>
    <xf numFmtId="0" fontId="0" fillId="0" borderId="0" xfId="0" applyFill="1" applyAlignment="1">
      <alignment wrapText="1"/>
    </xf>
    <xf numFmtId="166" fontId="12" fillId="0" borderId="0" xfId="685" applyNumberFormat="1" applyFont="1" applyFill="1" applyBorder="1" applyAlignment="1"/>
    <xf numFmtId="166" fontId="8" fillId="0" borderId="0" xfId="685" applyNumberFormat="1" applyFont="1" applyFill="1" applyBorder="1" applyAlignment="1">
      <alignment horizontal="right"/>
    </xf>
    <xf numFmtId="0" fontId="9" fillId="0" borderId="0" xfId="0" applyFont="1" applyFill="1" applyBorder="1" applyAlignment="1">
      <alignment horizontal="center"/>
    </xf>
    <xf numFmtId="0" fontId="11" fillId="0" borderId="0" xfId="517" applyFont="1" applyFill="1" applyAlignment="1">
      <alignment horizontal="justify" vertical="top" wrapText="1"/>
    </xf>
    <xf numFmtId="0" fontId="11" fillId="0" borderId="0" xfId="517" applyFont="1" applyFill="1" applyAlignment="1">
      <alignment horizontal="center" vertical="top" wrapText="1"/>
    </xf>
    <xf numFmtId="0" fontId="11" fillId="0" borderId="0" xfId="0" applyFont="1" applyFill="1" applyAlignment="1">
      <alignment horizontal="left" vertical="top" wrapText="1"/>
    </xf>
    <xf numFmtId="0" fontId="11" fillId="0" borderId="0" xfId="0" applyFont="1" applyFill="1" applyBorder="1" applyAlignment="1">
      <alignment vertical="center" wrapText="1"/>
    </xf>
    <xf numFmtId="0" fontId="3" fillId="0" borderId="0" xfId="0" applyFont="1" applyFill="1" applyAlignment="1">
      <alignment horizontal="center"/>
    </xf>
    <xf numFmtId="0" fontId="11" fillId="0" borderId="0" xfId="0" applyFont="1" applyFill="1" applyBorder="1"/>
    <xf numFmtId="0" fontId="3" fillId="0" borderId="0" xfId="0" applyFont="1" applyFill="1" applyBorder="1" applyAlignment="1">
      <alignment horizontal="center"/>
    </xf>
    <xf numFmtId="0" fontId="12"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left" vertical="center" wrapText="1"/>
    </xf>
    <xf numFmtId="166" fontId="3" fillId="0" borderId="0" xfId="0" applyNumberFormat="1" applyFont="1" applyFill="1" applyBorder="1" applyAlignment="1"/>
    <xf numFmtId="166" fontId="3" fillId="0" borderId="0" xfId="0" applyNumberFormat="1" applyFont="1" applyFill="1"/>
    <xf numFmtId="0" fontId="0" fillId="0" borderId="0" xfId="0" applyAlignment="1">
      <alignment horizontal="right"/>
    </xf>
    <xf numFmtId="0" fontId="72" fillId="0" borderId="0" xfId="0" applyFont="1" applyAlignment="1">
      <alignment horizontal="centerContinuous" wrapText="1"/>
    </xf>
    <xf numFmtId="0" fontId="73" fillId="0" borderId="0" xfId="0" applyFont="1" applyAlignment="1">
      <alignment horizontal="centerContinuous"/>
    </xf>
    <xf numFmtId="0" fontId="0" fillId="0" borderId="0" xfId="0" applyAlignment="1">
      <alignment horizontal="centerContinuous"/>
    </xf>
    <xf numFmtId="0" fontId="0" fillId="0" borderId="30" xfId="0" applyBorder="1" applyAlignment="1">
      <alignment horizontal="centerContinuous"/>
    </xf>
    <xf numFmtId="0" fontId="0" fillId="0" borderId="31" xfId="0" applyBorder="1" applyAlignment="1">
      <alignment horizontal="centerContinuous"/>
    </xf>
    <xf numFmtId="0" fontId="0" fillId="0" borderId="33" xfId="0" applyBorder="1" applyAlignment="1">
      <alignment horizontal="center"/>
    </xf>
    <xf numFmtId="0" fontId="0" fillId="0" borderId="34" xfId="0" applyBorder="1" applyAlignment="1">
      <alignment horizontal="center"/>
    </xf>
    <xf numFmtId="0" fontId="0" fillId="0" borderId="36" xfId="0" applyBorder="1" applyAlignment="1">
      <alignment wrapText="1"/>
    </xf>
    <xf numFmtId="183" fontId="0" fillId="0" borderId="36" xfId="0" applyNumberFormat="1" applyBorder="1" applyAlignment="1">
      <alignment horizontal="right"/>
    </xf>
    <xf numFmtId="0" fontId="0" fillId="0" borderId="36" xfId="0" applyBorder="1" applyAlignment="1">
      <alignment horizontal="right"/>
    </xf>
    <xf numFmtId="0" fontId="0" fillId="0" borderId="37" xfId="0" applyBorder="1" applyAlignment="1">
      <alignment horizontal="right"/>
    </xf>
    <xf numFmtId="191" fontId="0" fillId="0" borderId="36" xfId="0" applyNumberFormat="1" applyBorder="1" applyAlignment="1">
      <alignment horizontal="right"/>
    </xf>
    <xf numFmtId="49" fontId="74" fillId="27" borderId="0" xfId="0" applyNumberFormat="1" applyFont="1" applyFill="1" applyAlignment="1">
      <alignment horizontal="center"/>
    </xf>
    <xf numFmtId="0" fontId="74" fillId="27" borderId="0" xfId="0" applyFont="1" applyFill="1" applyAlignment="1">
      <alignment horizontal="center"/>
    </xf>
    <xf numFmtId="0" fontId="75" fillId="0" borderId="0" xfId="0" applyFont="1" applyAlignment="1">
      <alignment horizontal="left"/>
    </xf>
    <xf numFmtId="0" fontId="75" fillId="0" borderId="0" xfId="0" applyFont="1"/>
    <xf numFmtId="0" fontId="75" fillId="0" borderId="0" xfId="0" applyFont="1" applyAlignment="1">
      <alignment horizontal="center"/>
    </xf>
    <xf numFmtId="49" fontId="76" fillId="28" borderId="40" xfId="0" applyNumberFormat="1" applyFont="1" applyFill="1" applyBorder="1" applyAlignment="1">
      <alignment horizontal="center"/>
    </xf>
    <xf numFmtId="0" fontId="76" fillId="28" borderId="40" xfId="0" applyFont="1" applyFill="1" applyBorder="1" applyAlignment="1">
      <alignment horizontal="center"/>
    </xf>
    <xf numFmtId="0" fontId="77" fillId="0" borderId="40" xfId="0" applyFont="1" applyBorder="1" applyAlignment="1">
      <alignment horizontal="left"/>
    </xf>
    <xf numFmtId="0" fontId="76" fillId="29" borderId="40" xfId="0" applyFont="1" applyFill="1" applyBorder="1"/>
    <xf numFmtId="0" fontId="77" fillId="30" borderId="40" xfId="0" applyFont="1" applyFill="1" applyBorder="1"/>
    <xf numFmtId="0" fontId="78" fillId="0" borderId="0" xfId="0" applyFont="1"/>
    <xf numFmtId="0" fontId="77" fillId="0" borderId="0" xfId="0" applyFont="1"/>
    <xf numFmtId="0" fontId="74" fillId="31" borderId="40" xfId="0" applyFont="1" applyFill="1" applyBorder="1"/>
    <xf numFmtId="49" fontId="79" fillId="32" borderId="0" xfId="0" applyNumberFormat="1" applyFont="1" applyFill="1" applyAlignment="1">
      <alignment horizontal="center"/>
    </xf>
    <xf numFmtId="0" fontId="79" fillId="32" borderId="0" xfId="0" applyFont="1" applyFill="1" applyAlignment="1">
      <alignment horizontal="center"/>
    </xf>
    <xf numFmtId="0" fontId="80" fillId="30" borderId="0" xfId="0" applyFont="1" applyFill="1"/>
    <xf numFmtId="49" fontId="75" fillId="0" borderId="0" xfId="0" applyNumberFormat="1" applyFont="1" applyAlignment="1">
      <alignment horizontal="center"/>
    </xf>
    <xf numFmtId="0" fontId="80" fillId="0" borderId="0" xfId="0" applyFont="1"/>
    <xf numFmtId="49" fontId="75" fillId="0" borderId="0" xfId="0" applyNumberFormat="1" applyFont="1"/>
    <xf numFmtId="49" fontId="75" fillId="0" borderId="0" xfId="0" applyNumberFormat="1" applyFont="1" applyAlignment="1">
      <alignment horizontal="left"/>
    </xf>
    <xf numFmtId="40" fontId="0" fillId="0" borderId="0" xfId="0" applyNumberFormat="1"/>
    <xf numFmtId="0" fontId="81" fillId="0" borderId="59" xfId="0" applyFont="1" applyBorder="1" applyAlignment="1">
      <alignment horizontal="center"/>
    </xf>
    <xf numFmtId="2" fontId="81" fillId="0" borderId="59" xfId="0" applyNumberFormat="1" applyFont="1" applyBorder="1" applyAlignment="1">
      <alignment horizontal="left" wrapText="1"/>
    </xf>
    <xf numFmtId="0" fontId="81" fillId="0" borderId="59" xfId="0" applyFont="1" applyBorder="1" applyAlignment="1">
      <alignment horizontal="left" wrapText="1"/>
    </xf>
    <xf numFmtId="0" fontId="81" fillId="0" borderId="59" xfId="0" applyFont="1" applyBorder="1" applyAlignment="1">
      <alignment horizontal="left"/>
    </xf>
    <xf numFmtId="14" fontId="81" fillId="0" borderId="59" xfId="0" applyNumberFormat="1" applyFont="1" applyBorder="1" applyAlignment="1">
      <alignment horizontal="center" vertical="center"/>
    </xf>
    <xf numFmtId="2" fontId="81" fillId="0" borderId="59" xfId="0" applyNumberFormat="1" applyFont="1" applyBorder="1" applyAlignment="1">
      <alignment horizontal="left"/>
    </xf>
    <xf numFmtId="0" fontId="81" fillId="0" borderId="0" xfId="0" applyFont="1" applyAlignment="1">
      <alignment horizontal="left"/>
    </xf>
    <xf numFmtId="0" fontId="81" fillId="0" borderId="0" xfId="0" applyFont="1"/>
    <xf numFmtId="0" fontId="81" fillId="0" borderId="0" xfId="0" applyFont="1" applyAlignment="1">
      <alignment horizontal="center"/>
    </xf>
    <xf numFmtId="2" fontId="81" fillId="0" borderId="0" xfId="0" applyNumberFormat="1" applyFont="1" applyAlignment="1">
      <alignment horizontal="left"/>
    </xf>
    <xf numFmtId="164" fontId="81" fillId="0" borderId="0" xfId="0" applyNumberFormat="1" applyFont="1" applyAlignment="1">
      <alignment horizontal="left"/>
    </xf>
    <xf numFmtId="192" fontId="81" fillId="0" borderId="59" xfId="0" applyNumberFormat="1" applyFont="1" applyBorder="1" applyAlignment="1">
      <alignment horizontal="center"/>
    </xf>
    <xf numFmtId="2" fontId="81" fillId="0" borderId="59" xfId="0" applyNumberFormat="1" applyFont="1" applyBorder="1" applyAlignment="1">
      <alignment horizontal="center"/>
    </xf>
    <xf numFmtId="2" fontId="82" fillId="0" borderId="59" xfId="0" applyNumberFormat="1" applyFont="1" applyBorder="1" applyAlignment="1">
      <alignment horizontal="center"/>
    </xf>
    <xf numFmtId="2" fontId="82" fillId="0" borderId="59" xfId="0" applyNumberFormat="1" applyFont="1" applyBorder="1" applyAlignment="1">
      <alignment horizontal="left"/>
    </xf>
    <xf numFmtId="2" fontId="82" fillId="0" borderId="0" xfId="0" applyNumberFormat="1" applyFont="1" applyAlignment="1">
      <alignment horizontal="center"/>
    </xf>
    <xf numFmtId="2" fontId="82" fillId="0" borderId="0" xfId="0" applyNumberFormat="1" applyFont="1" applyAlignment="1">
      <alignment horizontal="left"/>
    </xf>
    <xf numFmtId="193" fontId="81" fillId="0" borderId="59" xfId="0" applyNumberFormat="1" applyFont="1" applyBorder="1" applyAlignment="1">
      <alignment horizontal="center"/>
    </xf>
    <xf numFmtId="10" fontId="81" fillId="0" borderId="59" xfId="0" applyNumberFormat="1" applyFont="1" applyBorder="1" applyAlignment="1">
      <alignment horizontal="left"/>
    </xf>
    <xf numFmtId="0" fontId="81" fillId="0" borderId="59" xfId="0" applyFont="1" applyBorder="1" applyAlignment="1">
      <alignment vertical="center"/>
    </xf>
    <xf numFmtId="2" fontId="81" fillId="0" borderId="0" xfId="0" applyNumberFormat="1" applyFont="1"/>
    <xf numFmtId="0" fontId="82" fillId="0" borderId="59" xfId="0" applyFont="1" applyBorder="1"/>
    <xf numFmtId="0" fontId="81" fillId="0" borderId="59" xfId="0" applyFont="1" applyBorder="1"/>
    <xf numFmtId="0" fontId="81" fillId="0" borderId="59" xfId="0" applyFont="1" applyBorder="1" applyAlignment="1">
      <alignment wrapText="1"/>
    </xf>
    <xf numFmtId="164" fontId="81" fillId="0" borderId="59" xfId="0" applyNumberFormat="1" applyFont="1" applyBorder="1"/>
    <xf numFmtId="164" fontId="81" fillId="0" borderId="0" xfId="0" applyNumberFormat="1" applyFont="1"/>
    <xf numFmtId="49" fontId="81" fillId="0" borderId="59" xfId="0" applyNumberFormat="1" applyFont="1" applyBorder="1"/>
    <xf numFmtId="2" fontId="82" fillId="0" borderId="0" xfId="0" applyNumberFormat="1" applyFont="1"/>
    <xf numFmtId="0" fontId="81" fillId="0" borderId="54" xfId="0" applyFont="1" applyFill="1" applyBorder="1" applyAlignment="1">
      <alignment horizontal="center"/>
    </xf>
    <xf numFmtId="0" fontId="81" fillId="0" borderId="0" xfId="0" applyFont="1" applyFill="1" applyBorder="1" applyAlignment="1">
      <alignment horizontal="center"/>
    </xf>
    <xf numFmtId="2" fontId="81" fillId="0" borderId="59" xfId="0" applyNumberFormat="1" applyFont="1" applyBorder="1"/>
    <xf numFmtId="0" fontId="81" fillId="0" borderId="59" xfId="0" applyFont="1" applyFill="1" applyBorder="1" applyAlignment="1">
      <alignment wrapText="1"/>
    </xf>
    <xf numFmtId="0" fontId="81" fillId="0" borderId="0" xfId="0" applyFont="1" applyAlignment="1">
      <alignment horizontal="right"/>
    </xf>
    <xf numFmtId="0" fontId="82" fillId="0" borderId="0" xfId="0" applyFont="1"/>
    <xf numFmtId="0" fontId="81" fillId="0" borderId="59" xfId="0" applyFont="1" applyBorder="1" applyAlignment="1">
      <alignment horizontal="right"/>
    </xf>
    <xf numFmtId="0" fontId="81" fillId="0" borderId="57" xfId="0" applyFont="1" applyBorder="1" applyAlignment="1">
      <alignment horizontal="right"/>
    </xf>
    <xf numFmtId="14" fontId="81" fillId="0" borderId="57" xfId="0" applyNumberFormat="1" applyFont="1" applyBorder="1" applyAlignment="1">
      <alignment horizontal="center" vertical="center"/>
    </xf>
    <xf numFmtId="2" fontId="81" fillId="0" borderId="57" xfId="0" applyNumberFormat="1" applyFont="1" applyBorder="1" applyAlignment="1">
      <alignment horizontal="left"/>
    </xf>
    <xf numFmtId="10" fontId="81" fillId="0" borderId="57" xfId="0" applyNumberFormat="1" applyFont="1" applyBorder="1" applyAlignment="1">
      <alignment horizontal="left"/>
    </xf>
    <xf numFmtId="164" fontId="81" fillId="0" borderId="57" xfId="0" applyNumberFormat="1" applyFont="1" applyBorder="1"/>
    <xf numFmtId="0" fontId="82" fillId="0" borderId="38" xfId="0" applyFont="1" applyBorder="1" applyAlignment="1">
      <alignment horizontal="right"/>
    </xf>
    <xf numFmtId="0" fontId="82" fillId="0" borderId="60" xfId="0" applyFont="1" applyBorder="1"/>
    <xf numFmtId="164" fontId="82" fillId="0" borderId="60" xfId="0" applyNumberFormat="1" applyFont="1" applyBorder="1"/>
    <xf numFmtId="0" fontId="81" fillId="0" borderId="59" xfId="0" applyNumberFormat="1" applyFont="1" applyBorder="1" applyAlignment="1">
      <alignment horizontal="center"/>
    </xf>
    <xf numFmtId="0" fontId="81" fillId="0" borderId="57" xfId="0" applyNumberFormat="1" applyFont="1" applyBorder="1" applyAlignment="1">
      <alignment horizontal="center"/>
    </xf>
    <xf numFmtId="0" fontId="81" fillId="34" borderId="59" xfId="0" applyFont="1" applyFill="1" applyBorder="1" applyAlignment="1">
      <alignment vertical="center"/>
    </xf>
    <xf numFmtId="2" fontId="82" fillId="0" borderId="59" xfId="0" applyNumberFormat="1" applyFont="1" applyBorder="1"/>
    <xf numFmtId="0" fontId="81" fillId="34" borderId="57" xfId="0" applyFont="1" applyFill="1" applyBorder="1" applyAlignment="1">
      <alignment vertical="center"/>
    </xf>
    <xf numFmtId="40" fontId="81" fillId="0" borderId="57" xfId="0" applyNumberFormat="1" applyFont="1" applyBorder="1" applyAlignment="1">
      <alignment horizontal="left"/>
    </xf>
    <xf numFmtId="0" fontId="1" fillId="35" borderId="0" xfId="0" applyFont="1" applyFill="1" applyAlignment="1">
      <alignment horizontal="center"/>
    </xf>
    <xf numFmtId="0" fontId="3" fillId="35" borderId="0" xfId="0" applyFont="1" applyFill="1"/>
    <xf numFmtId="165" fontId="81" fillId="0" borderId="0" xfId="0" applyNumberFormat="1" applyFont="1"/>
    <xf numFmtId="0" fontId="81" fillId="35" borderId="0" xfId="0" applyFont="1" applyFill="1" applyAlignment="1">
      <alignment horizontal="right"/>
    </xf>
    <xf numFmtId="0" fontId="81" fillId="35" borderId="0" xfId="0" applyFont="1" applyFill="1"/>
    <xf numFmtId="165" fontId="81" fillId="35" borderId="0" xfId="0" applyNumberFormat="1" applyFont="1" applyFill="1"/>
    <xf numFmtId="183" fontId="0" fillId="0" borderId="0" xfId="0" applyNumberFormat="1"/>
    <xf numFmtId="164" fontId="89" fillId="35" borderId="60" xfId="0" applyNumberFormat="1" applyFont="1" applyFill="1" applyBorder="1"/>
    <xf numFmtId="40" fontId="89" fillId="35" borderId="60" xfId="0" applyNumberFormat="1" applyFont="1" applyFill="1" applyBorder="1"/>
    <xf numFmtId="164" fontId="81" fillId="0" borderId="0" xfId="0" applyNumberFormat="1" applyFont="1" applyFill="1" applyBorder="1"/>
    <xf numFmtId="40" fontId="81" fillId="0" borderId="0" xfId="0" applyNumberFormat="1" applyFont="1" applyFill="1" applyBorder="1" applyAlignment="1">
      <alignment horizontal="left"/>
    </xf>
    <xf numFmtId="0" fontId="81" fillId="0" borderId="0" xfId="0" applyFont="1" applyFill="1" applyBorder="1"/>
    <xf numFmtId="166" fontId="86" fillId="0" borderId="19" xfId="0" applyNumberFormat="1" applyFont="1" applyFill="1" applyBorder="1" applyAlignment="1"/>
    <xf numFmtId="0" fontId="3" fillId="0" borderId="0" xfId="0" applyFont="1" applyFill="1" applyAlignment="1"/>
    <xf numFmtId="166" fontId="12" fillId="0" borderId="0" xfId="685" applyNumberFormat="1" applyFont="1" applyFill="1" applyBorder="1" applyAlignment="1"/>
    <xf numFmtId="0" fontId="11" fillId="0" borderId="0" xfId="517" applyFont="1" applyFill="1" applyAlignment="1">
      <alignment horizontal="center" vertical="top" wrapText="1"/>
    </xf>
    <xf numFmtId="0" fontId="11" fillId="0" borderId="0" xfId="517" applyFont="1" applyFill="1" applyAlignment="1">
      <alignment horizontal="justify" vertical="top" wrapText="1"/>
    </xf>
    <xf numFmtId="0" fontId="3" fillId="0" borderId="0" xfId="0" applyFont="1" applyFill="1" applyAlignment="1">
      <alignment horizontal="left" vertical="top" wrapText="1"/>
    </xf>
    <xf numFmtId="0" fontId="9" fillId="0" borderId="16" xfId="0" applyFont="1" applyFill="1" applyBorder="1" applyAlignment="1">
      <alignment horizontal="center"/>
    </xf>
    <xf numFmtId="0" fontId="3" fillId="35" borderId="0" xfId="0" applyFont="1" applyFill="1"/>
    <xf numFmtId="0" fontId="11" fillId="0" borderId="0" xfId="0" applyFont="1" applyFill="1" applyBorder="1" applyAlignment="1">
      <alignment horizontal="center" vertical="center" wrapText="1"/>
    </xf>
    <xf numFmtId="0" fontId="3" fillId="0" borderId="0" xfId="0" applyFont="1" applyFill="1" applyAlignment="1">
      <alignment horizontal="justify" vertical="top"/>
    </xf>
    <xf numFmtId="0" fontId="15" fillId="0" borderId="0" xfId="0" applyFont="1" applyFill="1" applyAlignment="1"/>
    <xf numFmtId="0" fontId="3" fillId="0" borderId="0" xfId="0" applyFont="1" applyFill="1"/>
    <xf numFmtId="166" fontId="12" fillId="0" borderId="0" xfId="685" applyNumberFormat="1" applyFont="1" applyFill="1" applyAlignment="1">
      <alignment horizontal="right"/>
    </xf>
    <xf numFmtId="166" fontId="11" fillId="0" borderId="20" xfId="685" applyNumberFormat="1" applyFont="1" applyFill="1" applyBorder="1"/>
    <xf numFmtId="0" fontId="11" fillId="0" borderId="0" xfId="0" applyFont="1" applyFill="1" applyAlignment="1">
      <alignment horizontal="center"/>
    </xf>
    <xf numFmtId="0" fontId="11" fillId="0" borderId="0" xfId="0" applyFont="1" applyFill="1"/>
    <xf numFmtId="166" fontId="8" fillId="0" borderId="20" xfId="685" applyNumberFormat="1" applyFont="1" applyFill="1" applyBorder="1" applyAlignment="1">
      <alignment horizontal="right"/>
    </xf>
    <xf numFmtId="166" fontId="12" fillId="0" borderId="0" xfId="685" applyNumberFormat="1" applyFont="1" applyFill="1" applyBorder="1" applyAlignment="1">
      <alignment horizontal="right"/>
    </xf>
    <xf numFmtId="0" fontId="21" fillId="0" borderId="0" xfId="0" applyFont="1" applyFill="1" applyBorder="1" applyAlignment="1">
      <alignment horizontal="right"/>
    </xf>
    <xf numFmtId="166" fontId="8" fillId="0" borderId="17" xfId="685" applyNumberFormat="1" applyFont="1" applyFill="1" applyBorder="1" applyAlignment="1"/>
    <xf numFmtId="166" fontId="8" fillId="0" borderId="0" xfId="685" applyNumberFormat="1" applyFont="1" applyFill="1" applyBorder="1" applyAlignment="1"/>
    <xf numFmtId="166" fontId="8" fillId="0" borderId="0" xfId="685" applyNumberFormat="1" applyFont="1" applyFill="1" applyBorder="1" applyAlignment="1">
      <alignment horizontal="right"/>
    </xf>
    <xf numFmtId="0" fontId="12" fillId="0" borderId="0" xfId="0" applyFont="1" applyFill="1"/>
    <xf numFmtId="0" fontId="8" fillId="0" borderId="0" xfId="0" applyFont="1" applyFill="1"/>
    <xf numFmtId="0" fontId="9" fillId="0" borderId="21" xfId="0" applyFont="1" applyFill="1" applyBorder="1" applyAlignment="1"/>
    <xf numFmtId="0" fontId="0" fillId="0" borderId="0" xfId="0" applyFill="1" applyAlignment="1"/>
    <xf numFmtId="0" fontId="9" fillId="0" borderId="0" xfId="0" applyFont="1" applyFill="1" applyBorder="1"/>
    <xf numFmtId="0" fontId="12" fillId="0" borderId="0" xfId="0" applyFont="1" applyFill="1" applyAlignment="1">
      <alignment horizontal="justify" vertical="top" wrapText="1"/>
    </xf>
    <xf numFmtId="0" fontId="3" fillId="0" borderId="0" xfId="0" applyFont="1" applyFill="1" applyAlignment="1">
      <alignment horizontal="justify" vertical="top" wrapText="1"/>
    </xf>
    <xf numFmtId="0" fontId="3" fillId="0" borderId="0" xfId="0" applyFont="1" applyFill="1" applyAlignment="1">
      <alignment vertical="top" wrapText="1"/>
    </xf>
    <xf numFmtId="0" fontId="12" fillId="0" borderId="0" xfId="0" applyFont="1" applyFill="1" applyAlignment="1">
      <alignment vertical="top" wrapText="1"/>
    </xf>
    <xf numFmtId="0" fontId="12" fillId="0" borderId="0" xfId="0" applyFont="1" applyFill="1" applyBorder="1" applyAlignment="1">
      <alignment vertical="top" wrapText="1"/>
    </xf>
    <xf numFmtId="170" fontId="12" fillId="0" borderId="0" xfId="0" applyNumberFormat="1" applyFont="1" applyFill="1" applyAlignment="1">
      <alignment horizontal="center" vertical="top" wrapText="1"/>
    </xf>
    <xf numFmtId="0" fontId="3" fillId="0" borderId="17" xfId="0" applyFont="1" applyFill="1" applyBorder="1" applyAlignment="1">
      <alignment vertical="top" wrapText="1"/>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3" fillId="0" borderId="0" xfId="0" applyFont="1" applyFill="1" applyAlignment="1">
      <alignment vertical="center"/>
    </xf>
    <xf numFmtId="166" fontId="3" fillId="0" borderId="0" xfId="0" applyNumberFormat="1" applyFont="1" applyFill="1" applyBorder="1" applyAlignment="1"/>
    <xf numFmtId="0" fontId="3" fillId="0" borderId="0" xfId="0" applyFont="1" applyFill="1" applyBorder="1" applyAlignment="1">
      <alignment horizontal="left" wrapText="1"/>
    </xf>
    <xf numFmtId="0" fontId="3" fillId="0" borderId="0" xfId="0" applyFont="1" applyFill="1" applyAlignment="1">
      <alignment horizontal="center"/>
    </xf>
    <xf numFmtId="0" fontId="3" fillId="0" borderId="0" xfId="0" applyFont="1" applyFill="1" applyAlignment="1">
      <alignment wrapText="1"/>
    </xf>
    <xf numFmtId="166" fontId="12" fillId="0" borderId="17" xfId="685" applyNumberFormat="1" applyFont="1" applyFill="1" applyBorder="1" applyAlignment="1">
      <alignment horizontal="right"/>
    </xf>
    <xf numFmtId="0" fontId="3" fillId="0" borderId="0" xfId="0" applyFont="1" applyFill="1" applyBorder="1" applyAlignment="1">
      <alignment horizontal="center"/>
    </xf>
    <xf numFmtId="0" fontId="11" fillId="0" borderId="17" xfId="0" applyFont="1" applyFill="1" applyBorder="1" applyAlignment="1">
      <alignment horizontal="center"/>
    </xf>
    <xf numFmtId="0" fontId="9" fillId="0" borderId="0" xfId="0" applyFont="1" applyFill="1" applyBorder="1" applyAlignment="1"/>
    <xf numFmtId="166" fontId="3" fillId="0" borderId="0" xfId="0" applyNumberFormat="1" applyFont="1" applyFill="1"/>
    <xf numFmtId="0" fontId="12" fillId="0" borderId="0" xfId="0" applyFont="1" applyFill="1" applyAlignment="1"/>
    <xf numFmtId="0" fontId="11" fillId="0" borderId="0" xfId="0" applyFont="1" applyFill="1" applyAlignment="1"/>
    <xf numFmtId="0" fontId="9" fillId="0" borderId="0" xfId="0" applyFont="1" applyFill="1" applyAlignment="1"/>
    <xf numFmtId="0" fontId="12" fillId="0" borderId="0" xfId="0" applyFont="1" applyFill="1" applyAlignment="1">
      <alignment horizontal="justify" vertical="top"/>
    </xf>
    <xf numFmtId="166" fontId="3" fillId="0" borderId="0" xfId="0" applyNumberFormat="1" applyFont="1" applyFill="1" applyAlignment="1">
      <alignment horizontal="center"/>
    </xf>
    <xf numFmtId="166" fontId="12" fillId="0" borderId="0" xfId="685" applyNumberFormat="1" applyFont="1" applyFill="1" applyAlignment="1"/>
    <xf numFmtId="0" fontId="3" fillId="0" borderId="0" xfId="0" applyFont="1" applyFill="1" applyAlignment="1">
      <alignment vertical="top"/>
    </xf>
    <xf numFmtId="0" fontId="3" fillId="0" borderId="0" xfId="0" quotePrefix="1" applyFont="1" applyFill="1" applyAlignment="1">
      <alignment vertical="top"/>
    </xf>
    <xf numFmtId="0" fontId="12" fillId="0" borderId="0" xfId="0" applyFont="1" applyFill="1" applyAlignment="1">
      <alignment vertical="top"/>
    </xf>
    <xf numFmtId="49" fontId="11" fillId="0" borderId="0" xfId="517" applyNumberFormat="1" applyFont="1" applyFill="1" applyAlignment="1">
      <alignment vertical="top" wrapText="1"/>
    </xf>
    <xf numFmtId="0" fontId="9" fillId="0" borderId="0" xfId="0" applyFont="1" applyFill="1" applyBorder="1" applyAlignment="1">
      <alignment wrapText="1"/>
    </xf>
    <xf numFmtId="0" fontId="9" fillId="0" borderId="21" xfId="0" applyFont="1" applyFill="1" applyBorder="1" applyAlignment="1">
      <alignment wrapText="1"/>
    </xf>
    <xf numFmtId="0" fontId="3" fillId="0" borderId="0" xfId="0" quotePrefix="1" applyFont="1" applyFill="1" applyAlignment="1"/>
    <xf numFmtId="0" fontId="9" fillId="0" borderId="0" xfId="0" applyFont="1" applyFill="1" applyAlignment="1">
      <alignment vertical="top"/>
    </xf>
    <xf numFmtId="166" fontId="3" fillId="0" borderId="0" xfId="0" applyNumberFormat="1" applyFont="1" applyFill="1" applyAlignment="1"/>
    <xf numFmtId="0" fontId="11" fillId="0" borderId="0" xfId="0" applyFont="1" applyFill="1" applyBorder="1" applyAlignment="1"/>
    <xf numFmtId="0" fontId="3" fillId="0" borderId="19" xfId="0" applyFont="1" applyFill="1" applyBorder="1" applyAlignment="1"/>
    <xf numFmtId="0" fontId="84" fillId="0" borderId="0" xfId="517" applyFont="1" applyFill="1" applyAlignment="1">
      <alignment vertical="top" wrapText="1"/>
    </xf>
    <xf numFmtId="0" fontId="84" fillId="0" borderId="0" xfId="0" applyFont="1" applyFill="1" applyAlignment="1">
      <alignment vertical="top" wrapText="1"/>
    </xf>
    <xf numFmtId="0" fontId="86" fillId="0" borderId="0" xfId="0" applyFont="1" applyFill="1" applyAlignment="1">
      <alignment vertical="top" wrapText="1"/>
    </xf>
    <xf numFmtId="0" fontId="87" fillId="0" borderId="0" xfId="0" applyFont="1" applyFill="1" applyBorder="1" applyAlignment="1">
      <alignment vertical="top" wrapText="1"/>
    </xf>
    <xf numFmtId="0" fontId="9" fillId="0" borderId="0" xfId="0" applyFont="1" applyFill="1" applyBorder="1" applyAlignment="1">
      <alignment vertical="top" wrapText="1"/>
    </xf>
    <xf numFmtId="0" fontId="87" fillId="0" borderId="0" xfId="0" applyFont="1" applyFill="1" applyBorder="1" applyAlignment="1"/>
    <xf numFmtId="0" fontId="87" fillId="0" borderId="0" xfId="0" applyFont="1" applyFill="1" applyBorder="1" applyAlignment="1">
      <alignment vertical="top"/>
    </xf>
    <xf numFmtId="0" fontId="88" fillId="0" borderId="0" xfId="0" applyFont="1" applyFill="1" applyBorder="1" applyAlignment="1"/>
    <xf numFmtId="4" fontId="1" fillId="0" borderId="0" xfId="0" applyNumberFormat="1" applyFont="1" applyFill="1" applyAlignment="1">
      <alignment horizontal="center"/>
    </xf>
    <xf numFmtId="4" fontId="1" fillId="0" borderId="0" xfId="648" applyNumberFormat="1" applyFont="1" applyFill="1" applyAlignment="1">
      <alignment horizontal="center"/>
    </xf>
    <xf numFmtId="166" fontId="11" fillId="0" borderId="0" xfId="685" applyNumberFormat="1" applyFont="1" applyFill="1" applyBorder="1"/>
    <xf numFmtId="166" fontId="11" fillId="0" borderId="0" xfId="685" applyNumberFormat="1" applyFont="1" applyFill="1" applyBorder="1" applyAlignment="1"/>
    <xf numFmtId="166" fontId="11" fillId="0" borderId="0" xfId="685" applyNumberFormat="1" applyFont="1" applyFill="1" applyBorder="1" applyAlignment="1">
      <alignment horizontal="left"/>
    </xf>
    <xf numFmtId="166" fontId="8" fillId="0" borderId="0" xfId="685" applyNumberFormat="1" applyFont="1" applyFill="1" applyBorder="1"/>
    <xf numFmtId="0" fontId="3" fillId="0" borderId="17" xfId="0" applyFont="1" applyFill="1" applyBorder="1"/>
    <xf numFmtId="0" fontId="12" fillId="0" borderId="0" xfId="0" applyFont="1" applyFill="1" applyBorder="1" applyAlignment="1">
      <alignment horizontal="left" vertical="top" wrapText="1"/>
    </xf>
    <xf numFmtId="0" fontId="0" fillId="0" borderId="0" xfId="0" applyFill="1" applyAlignment="1">
      <alignment horizontal="justify" vertical="top" wrapText="1"/>
    </xf>
    <xf numFmtId="166" fontId="11" fillId="0" borderId="0" xfId="0" applyNumberFormat="1" applyFont="1" applyFill="1" applyBorder="1" applyAlignment="1">
      <alignment horizontal="center" vertical="center" wrapText="1"/>
    </xf>
    <xf numFmtId="0" fontId="12" fillId="0" borderId="0" xfId="0" applyFont="1" applyFill="1" applyBorder="1" applyAlignment="1"/>
    <xf numFmtId="0" fontId="0" fillId="0" borderId="0" xfId="0" applyFill="1" applyAlignment="1">
      <alignment vertical="top" wrapText="1"/>
    </xf>
    <xf numFmtId="0" fontId="21" fillId="0" borderId="0" xfId="0" applyFont="1" applyFill="1" applyAlignment="1"/>
    <xf numFmtId="0" fontId="12" fillId="0" borderId="0" xfId="0" applyFont="1" applyFill="1" applyAlignment="1">
      <alignment horizontal="center"/>
    </xf>
    <xf numFmtId="166" fontId="12" fillId="0" borderId="18" xfId="685" applyNumberFormat="1" applyFont="1" applyFill="1" applyBorder="1" applyAlignment="1"/>
    <xf numFmtId="0" fontId="8" fillId="0" borderId="0" xfId="0" applyFont="1" applyFill="1" applyBorder="1" applyAlignment="1">
      <alignment vertical="center" textRotation="90" wrapText="1"/>
    </xf>
    <xf numFmtId="0" fontId="8" fillId="0" borderId="17" xfId="0" applyFont="1" applyFill="1" applyBorder="1" applyAlignment="1">
      <alignment vertical="center" textRotation="90" wrapText="1"/>
    </xf>
    <xf numFmtId="0" fontId="21" fillId="0" borderId="0" xfId="0" applyFont="1" applyFill="1" applyBorder="1" applyAlignment="1"/>
    <xf numFmtId="0" fontId="3" fillId="0" borderId="0" xfId="0" applyFont="1" applyFill="1" applyBorder="1" applyAlignment="1">
      <alignment horizontal="justify" vertical="top" wrapText="1"/>
    </xf>
    <xf numFmtId="166" fontId="3" fillId="0" borderId="0" xfId="685" applyNumberFormat="1" applyFont="1" applyFill="1"/>
    <xf numFmtId="166" fontId="11" fillId="0" borderId="0" xfId="685" applyNumberFormat="1" applyFont="1" applyFill="1"/>
    <xf numFmtId="168" fontId="11" fillId="0" borderId="0" xfId="685" applyNumberFormat="1" applyFont="1" applyFill="1" applyBorder="1"/>
    <xf numFmtId="0" fontId="11" fillId="0" borderId="0" xfId="0" applyFont="1" applyFill="1" applyAlignment="1">
      <alignment vertical="center"/>
    </xf>
    <xf numFmtId="0" fontId="11" fillId="0" borderId="0" xfId="0" applyFont="1" applyFill="1" applyBorder="1" applyAlignment="1">
      <alignment vertical="center"/>
    </xf>
    <xf numFmtId="0" fontId="23" fillId="0" borderId="0" xfId="0" applyFont="1" applyFill="1" applyAlignment="1"/>
    <xf numFmtId="168" fontId="11" fillId="0" borderId="0" xfId="685" applyNumberFormat="1" applyFont="1" applyFill="1" applyBorder="1" applyAlignment="1"/>
    <xf numFmtId="168" fontId="8" fillId="0" borderId="0" xfId="685" applyNumberFormat="1" applyFont="1" applyFill="1"/>
    <xf numFmtId="0" fontId="12" fillId="0" borderId="0" xfId="0" applyFont="1" applyFill="1" applyBorder="1" applyAlignment="1">
      <alignment horizontal="justify" vertical="top"/>
    </xf>
    <xf numFmtId="166" fontId="24" fillId="0" borderId="0" xfId="685" applyNumberFormat="1" applyFont="1" applyFill="1" applyBorder="1"/>
    <xf numFmtId="0" fontId="8" fillId="0" borderId="0" xfId="0" applyFont="1" applyFill="1" applyBorder="1" applyAlignment="1">
      <alignment vertical="center" wrapText="1"/>
    </xf>
    <xf numFmtId="0" fontId="92" fillId="0" borderId="0" xfId="0" applyFont="1" applyFill="1" applyAlignment="1">
      <alignment horizontal="center"/>
    </xf>
    <xf numFmtId="0" fontId="93" fillId="0" borderId="0" xfId="0" applyFont="1" applyFill="1"/>
    <xf numFmtId="0" fontId="15" fillId="0" borderId="0" xfId="0" applyFont="1" applyFill="1" applyAlignment="1">
      <alignment horizontal="justify" vertical="top" wrapText="1"/>
    </xf>
    <xf numFmtId="0" fontId="11" fillId="0" borderId="0" xfId="0" applyFont="1" applyFill="1" applyAlignment="1">
      <alignment horizontal="left" vertical="center"/>
    </xf>
    <xf numFmtId="0" fontId="3" fillId="0" borderId="0" xfId="0" applyFont="1" applyFill="1" applyAlignment="1">
      <alignment horizontal="justify" vertical="center" wrapText="1"/>
    </xf>
    <xf numFmtId="0" fontId="11" fillId="0" borderId="0" xfId="0" applyFont="1" applyFill="1" applyAlignment="1">
      <alignment vertical="center" wrapText="1"/>
    </xf>
    <xf numFmtId="166" fontId="11" fillId="0" borderId="0" xfId="0" applyNumberFormat="1" applyFont="1" applyFill="1" applyBorder="1" applyAlignment="1">
      <alignment vertical="center" wrapText="1"/>
    </xf>
    <xf numFmtId="0" fontId="3" fillId="0" borderId="0" xfId="0" applyFont="1" applyFill="1" applyAlignment="1">
      <alignment horizontal="left" vertical="center" wrapText="1"/>
    </xf>
    <xf numFmtId="166" fontId="3" fillId="0" borderId="0" xfId="685" applyNumberFormat="1" applyFont="1" applyFill="1" applyBorder="1" applyAlignment="1">
      <alignment vertical="center" wrapText="1"/>
    </xf>
    <xf numFmtId="168" fontId="11" fillId="0" borderId="0" xfId="685" applyNumberFormat="1" applyFont="1" applyFill="1" applyBorder="1" applyAlignment="1">
      <alignment vertical="center" wrapText="1"/>
    </xf>
    <xf numFmtId="166" fontId="11" fillId="0" borderId="0" xfId="685" applyNumberFormat="1" applyFont="1" applyFill="1" applyBorder="1" applyAlignment="1">
      <alignment vertical="center" wrapText="1"/>
    </xf>
    <xf numFmtId="0" fontId="3" fillId="0" borderId="0" xfId="0" applyFont="1" applyFill="1" applyAlignment="1">
      <alignment vertical="center" wrapText="1"/>
    </xf>
    <xf numFmtId="168" fontId="3" fillId="0" borderId="0" xfId="685" applyNumberFormat="1" applyFont="1" applyFill="1" applyBorder="1" applyAlignment="1">
      <alignment vertical="center" wrapText="1"/>
    </xf>
    <xf numFmtId="166" fontId="3" fillId="0" borderId="0" xfId="0" applyNumberFormat="1" applyFont="1" applyFill="1" applyBorder="1"/>
    <xf numFmtId="166" fontId="3" fillId="0" borderId="0" xfId="0" applyNumberFormat="1" applyFont="1" applyFill="1" applyAlignment="1">
      <alignment horizontal="justify" vertical="top" wrapText="1"/>
    </xf>
    <xf numFmtId="0" fontId="15" fillId="0" borderId="0" xfId="0" applyFont="1" applyFill="1" applyAlignment="1">
      <alignment vertical="center"/>
    </xf>
    <xf numFmtId="166" fontId="3" fillId="0" borderId="0" xfId="0" applyNumberFormat="1" applyFont="1" applyFill="1" applyAlignment="1">
      <alignment horizontal="left" vertical="center" wrapText="1"/>
    </xf>
    <xf numFmtId="0" fontId="11" fillId="0" borderId="0" xfId="0" applyFont="1" applyFill="1" applyAlignment="1">
      <alignment horizontal="left" vertical="center" wrapText="1"/>
    </xf>
    <xf numFmtId="0" fontId="8" fillId="0" borderId="0" xfId="0" applyFont="1" applyFill="1" applyAlignment="1"/>
    <xf numFmtId="0" fontId="25" fillId="0" borderId="0" xfId="0" applyFont="1" applyFill="1" applyAlignment="1"/>
    <xf numFmtId="0" fontId="15" fillId="0" borderId="0" xfId="0" applyFont="1" applyFill="1" applyAlignment="1">
      <alignment vertical="top" wrapText="1"/>
    </xf>
    <xf numFmtId="0" fontId="26" fillId="0" borderId="0" xfId="0" applyFont="1" applyFill="1" applyAlignment="1">
      <alignment vertical="center"/>
    </xf>
    <xf numFmtId="166" fontId="3" fillId="0" borderId="0" xfId="685" applyNumberFormat="1" applyFont="1" applyFill="1" applyBorder="1" applyAlignment="1"/>
    <xf numFmtId="0" fontId="3" fillId="0" borderId="0" xfId="0" applyFont="1" applyFill="1" applyBorder="1" applyAlignment="1">
      <alignment horizontal="left"/>
    </xf>
    <xf numFmtId="0" fontId="8" fillId="0" borderId="0" xfId="0" applyFont="1" applyFill="1" applyBorder="1"/>
    <xf numFmtId="0" fontId="18" fillId="0" borderId="0" xfId="0" applyFont="1" applyFill="1" applyBorder="1"/>
    <xf numFmtId="0" fontId="10" fillId="0" borderId="0" xfId="0" applyFont="1" applyFill="1" applyBorder="1"/>
    <xf numFmtId="0" fontId="3" fillId="0" borderId="0" xfId="0" applyFont="1" applyFill="1" applyAlignment="1">
      <alignment vertical="top" wrapText="1"/>
    </xf>
    <xf numFmtId="166" fontId="8" fillId="0" borderId="0" xfId="685" applyNumberFormat="1" applyFont="1" applyFill="1" applyBorder="1"/>
    <xf numFmtId="0" fontId="81" fillId="0" borderId="65" xfId="0" applyFont="1" applyFill="1" applyBorder="1" applyAlignment="1">
      <alignment wrapText="1"/>
    </xf>
    <xf numFmtId="164" fontId="81" fillId="0" borderId="65" xfId="0" applyNumberFormat="1" applyFont="1" applyBorder="1"/>
    <xf numFmtId="164" fontId="81" fillId="0" borderId="66" xfId="0" applyNumberFormat="1" applyFont="1" applyBorder="1"/>
    <xf numFmtId="0" fontId="3" fillId="0" borderId="0" xfId="0" applyFont="1" applyFill="1" applyAlignment="1">
      <alignment horizontal="left" vertical="top" wrapText="1"/>
    </xf>
    <xf numFmtId="0" fontId="11" fillId="0" borderId="0" xfId="0" applyFont="1" applyFill="1" applyAlignment="1">
      <alignment vertical="center"/>
    </xf>
    <xf numFmtId="0" fontId="15" fillId="0" borderId="0" xfId="0" applyFont="1" applyFill="1" applyAlignment="1">
      <alignment vertical="center"/>
    </xf>
    <xf numFmtId="166" fontId="11" fillId="0" borderId="0" xfId="685" applyNumberFormat="1" applyFont="1" applyFill="1" applyBorder="1" applyAlignment="1">
      <alignment vertical="center" wrapText="1"/>
    </xf>
    <xf numFmtId="0" fontId="9" fillId="0" borderId="16" xfId="0" applyFont="1" applyFill="1" applyBorder="1" applyAlignment="1">
      <alignment horizontal="center"/>
    </xf>
    <xf numFmtId="0" fontId="84" fillId="0" borderId="0" xfId="517" applyFont="1" applyFill="1" applyAlignment="1">
      <alignment horizontal="left" vertical="top" wrapText="1"/>
    </xf>
    <xf numFmtId="0" fontId="3" fillId="0" borderId="0" xfId="0" applyFont="1" applyFill="1" applyAlignment="1">
      <alignment vertical="top" wrapText="1"/>
    </xf>
    <xf numFmtId="0" fontId="3" fillId="0" borderId="0" xfId="0" applyFont="1" applyFill="1"/>
    <xf numFmtId="0" fontId="9" fillId="0" borderId="0" xfId="0" applyFont="1" applyFill="1" applyBorder="1" applyAlignment="1">
      <alignment horizontal="center"/>
    </xf>
    <xf numFmtId="0" fontId="3" fillId="0" borderId="0" xfId="0" applyFont="1" applyFill="1" applyAlignment="1">
      <alignment horizontal="justify" vertical="top" wrapText="1"/>
    </xf>
    <xf numFmtId="0" fontId="3" fillId="0" borderId="0" xfId="0" applyFont="1" applyFill="1" applyAlignment="1">
      <alignment wrapText="1"/>
    </xf>
    <xf numFmtId="0" fontId="3" fillId="0" borderId="0" xfId="0" applyFont="1" applyFill="1" applyBorder="1" applyAlignment="1">
      <alignment horizontal="center"/>
    </xf>
    <xf numFmtId="0" fontId="3" fillId="0" borderId="0" xfId="0" applyFont="1" applyFill="1" applyBorder="1"/>
    <xf numFmtId="0" fontId="6" fillId="0" borderId="0" xfId="0" applyFont="1" applyFill="1"/>
    <xf numFmtId="0" fontId="3" fillId="0" borderId="0" xfId="0" applyFont="1" applyFill="1"/>
    <xf numFmtId="0" fontId="3" fillId="0" borderId="0" xfId="0" applyFont="1" applyFill="1" applyAlignment="1">
      <alignment horizontal="left" vertical="top" wrapText="1"/>
    </xf>
    <xf numFmtId="0" fontId="3" fillId="0" borderId="0" xfId="0" applyFont="1" applyFill="1" applyAlignment="1"/>
    <xf numFmtId="0" fontId="3" fillId="0" borderId="0" xfId="0" applyFont="1" applyFill="1" applyAlignment="1">
      <alignment horizontal="justify" vertical="top" wrapText="1"/>
    </xf>
    <xf numFmtId="0" fontId="3" fillId="0" borderId="0" xfId="0" applyFont="1" applyFill="1" applyAlignment="1">
      <alignment vertical="top" wrapText="1"/>
    </xf>
    <xf numFmtId="0" fontId="84" fillId="0" borderId="0" xfId="517" applyFont="1" applyFill="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9" fillId="0" borderId="18" xfId="0" applyFont="1" applyFill="1" applyBorder="1" applyAlignment="1"/>
    <xf numFmtId="0" fontId="3" fillId="0" borderId="18" xfId="0" applyFont="1" applyFill="1" applyBorder="1"/>
    <xf numFmtId="0" fontId="9" fillId="0" borderId="18" xfId="0" applyFont="1" applyFill="1" applyBorder="1" applyAlignment="1">
      <alignment horizontal="center"/>
    </xf>
    <xf numFmtId="0" fontId="3" fillId="0" borderId="0" xfId="0" applyFont="1" applyFill="1" applyAlignment="1">
      <alignment horizontal="left" vertical="top" wrapText="1"/>
    </xf>
    <xf numFmtId="0" fontId="3" fillId="0" borderId="0" xfId="0" applyFont="1" applyFill="1" applyBorder="1" applyAlignment="1">
      <alignment horizontal="center"/>
    </xf>
    <xf numFmtId="0" fontId="3" fillId="0" borderId="0" xfId="0" applyFont="1" applyFill="1" applyAlignment="1">
      <alignment vertical="top" wrapText="1"/>
    </xf>
    <xf numFmtId="0" fontId="3" fillId="0" borderId="0" xfId="0" applyFont="1" applyFill="1"/>
    <xf numFmtId="0" fontId="9" fillId="0" borderId="0" xfId="0" applyFont="1" applyFill="1" applyBorder="1" applyAlignment="1">
      <alignment horizontal="center"/>
    </xf>
    <xf numFmtId="0" fontId="3" fillId="0" borderId="0" xfId="0" applyFont="1" applyFill="1" applyAlignment="1">
      <alignment horizontal="justify" vertical="top" wrapText="1"/>
    </xf>
    <xf numFmtId="0" fontId="12" fillId="0" borderId="0" xfId="0" applyFont="1" applyFill="1" applyAlignment="1">
      <alignment vertical="top" wrapText="1"/>
    </xf>
    <xf numFmtId="0" fontId="3" fillId="0" borderId="0" xfId="0" applyFont="1" applyFill="1" applyAlignment="1">
      <alignment wrapText="1"/>
    </xf>
    <xf numFmtId="0" fontId="3" fillId="0" borderId="0" xfId="0" applyFont="1" applyFill="1" applyBorder="1"/>
    <xf numFmtId="0" fontId="72" fillId="0" borderId="0" xfId="0" applyFont="1" applyAlignment="1">
      <alignment horizontal="left" wrapText="1"/>
    </xf>
    <xf numFmtId="166" fontId="8" fillId="0" borderId="0" xfId="685" applyNumberFormat="1" applyFont="1" applyFill="1" applyBorder="1"/>
    <xf numFmtId="0" fontId="0" fillId="36" borderId="17" xfId="0" applyFill="1" applyBorder="1"/>
    <xf numFmtId="0" fontId="0" fillId="0" borderId="29" xfId="0" applyBorder="1" applyAlignment="1">
      <alignment horizontal="centerContinuous"/>
    </xf>
    <xf numFmtId="0" fontId="0" fillId="0" borderId="67" xfId="0" applyBorder="1" applyAlignment="1">
      <alignment horizontal="centerContinuous"/>
    </xf>
    <xf numFmtId="0" fontId="0" fillId="0" borderId="32" xfId="0" applyBorder="1" applyAlignment="1">
      <alignment horizontal="center"/>
    </xf>
    <xf numFmtId="0" fontId="0" fillId="0" borderId="68" xfId="0" applyBorder="1" applyAlignment="1">
      <alignment horizontal="center"/>
    </xf>
    <xf numFmtId="0" fontId="0" fillId="0" borderId="35" xfId="0" applyBorder="1"/>
    <xf numFmtId="183" fontId="0" fillId="0" borderId="37" xfId="0" applyNumberFormat="1" applyBorder="1" applyAlignment="1">
      <alignment horizontal="right"/>
    </xf>
    <xf numFmtId="191" fontId="0" fillId="0" borderId="37" xfId="0" applyNumberFormat="1" applyBorder="1" applyAlignment="1">
      <alignment horizontal="right"/>
    </xf>
    <xf numFmtId="0" fontId="0" fillId="0" borderId="38" xfId="0" applyBorder="1"/>
    <xf numFmtId="0" fontId="0" fillId="0" borderId="39" xfId="0" applyBorder="1" applyAlignment="1">
      <alignment wrapText="1"/>
    </xf>
    <xf numFmtId="183" fontId="0" fillId="0" borderId="39" xfId="0" applyNumberFormat="1" applyBorder="1" applyAlignment="1">
      <alignment horizontal="right"/>
    </xf>
    <xf numFmtId="183" fontId="0" fillId="0" borderId="69" xfId="0" applyNumberFormat="1" applyBorder="1" applyAlignment="1">
      <alignment horizontal="right"/>
    </xf>
    <xf numFmtId="0" fontId="38" fillId="0" borderId="0" xfId="0" applyFont="1"/>
    <xf numFmtId="0" fontId="0" fillId="0" borderId="17" xfId="0" applyBorder="1"/>
    <xf numFmtId="0" fontId="95" fillId="0" borderId="0" xfId="0" applyFont="1" applyAlignment="1">
      <alignment horizontal="centerContinuous"/>
    </xf>
    <xf numFmtId="0" fontId="96" fillId="0" borderId="70" xfId="0" applyFont="1" applyBorder="1" applyAlignment="1">
      <alignment horizontal="center"/>
    </xf>
    <xf numFmtId="0" fontId="96" fillId="0" borderId="71" xfId="0" applyFont="1" applyBorder="1" applyAlignment="1">
      <alignment horizontal="center"/>
    </xf>
    <xf numFmtId="0" fontId="96" fillId="0" borderId="67" xfId="0" applyFont="1" applyBorder="1" applyAlignment="1">
      <alignment horizontal="right"/>
    </xf>
    <xf numFmtId="0" fontId="97" fillId="0" borderId="72" xfId="0" applyFont="1" applyBorder="1" applyAlignment="1">
      <alignment horizontal="right"/>
    </xf>
    <xf numFmtId="0" fontId="96" fillId="0" borderId="70" xfId="0" applyFont="1" applyBorder="1" applyAlignment="1">
      <alignment horizontal="right"/>
    </xf>
    <xf numFmtId="0" fontId="96" fillId="0" borderId="37" xfId="0" applyFont="1" applyBorder="1" applyAlignment="1">
      <alignment horizontal="right"/>
    </xf>
    <xf numFmtId="0" fontId="97" fillId="0" borderId="43" xfId="0" applyFont="1" applyBorder="1"/>
    <xf numFmtId="0" fontId="82" fillId="0" borderId="0" xfId="0" applyFont="1" applyBorder="1" applyAlignment="1">
      <alignment horizontal="right"/>
    </xf>
    <xf numFmtId="0" fontId="82" fillId="0" borderId="0" xfId="0" applyFont="1" applyBorder="1"/>
    <xf numFmtId="164" fontId="89" fillId="35" borderId="0" xfId="0" applyNumberFormat="1" applyFont="1" applyFill="1" applyBorder="1"/>
    <xf numFmtId="40" fontId="89" fillId="35" borderId="0" xfId="0" applyNumberFormat="1" applyFont="1" applyFill="1" applyBorder="1"/>
    <xf numFmtId="164" fontId="82" fillId="0" borderId="0" xfId="0" applyNumberFormat="1" applyFont="1" applyBorder="1"/>
    <xf numFmtId="2" fontId="82" fillId="0" borderId="0" xfId="0" applyNumberFormat="1" applyFont="1" applyBorder="1"/>
    <xf numFmtId="0" fontId="98" fillId="0" borderId="0" xfId="0" applyFont="1" applyAlignment="1">
      <alignment horizontal="left" wrapText="1"/>
    </xf>
    <xf numFmtId="0" fontId="98" fillId="0" borderId="0" xfId="0" applyFont="1" applyAlignment="1">
      <alignment horizontal="centerContinuous" wrapText="1"/>
    </xf>
    <xf numFmtId="194" fontId="98" fillId="0" borderId="0" xfId="0" applyNumberFormat="1" applyFont="1" applyAlignment="1">
      <alignment horizontal="left" wrapText="1"/>
    </xf>
    <xf numFmtId="0" fontId="99" fillId="0" borderId="0" xfId="0" applyFont="1" applyAlignment="1">
      <alignment horizontal="left"/>
    </xf>
    <xf numFmtId="0" fontId="81" fillId="0" borderId="0" xfId="0" applyFont="1" applyAlignment="1">
      <alignment horizontal="centerContinuous"/>
    </xf>
    <xf numFmtId="0" fontId="81" fillId="0" borderId="29" xfId="0" applyFont="1" applyBorder="1" applyAlignment="1">
      <alignment horizontal="left"/>
    </xf>
    <xf numFmtId="0" fontId="81" fillId="0" borderId="30" xfId="0" applyFont="1" applyBorder="1" applyAlignment="1">
      <alignment horizontal="centerContinuous"/>
    </xf>
    <xf numFmtId="0" fontId="81" fillId="0" borderId="31" xfId="0" applyFont="1" applyBorder="1" applyAlignment="1">
      <alignment horizontal="centerContinuous"/>
    </xf>
    <xf numFmtId="0" fontId="81" fillId="0" borderId="65" xfId="0" applyFont="1" applyBorder="1"/>
    <xf numFmtId="0" fontId="81" fillId="0" borderId="32" xfId="0" applyFont="1" applyBorder="1" applyAlignment="1">
      <alignment horizontal="left"/>
    </xf>
    <xf numFmtId="0" fontId="81" fillId="0" borderId="33" xfId="0" applyFont="1" applyBorder="1" applyAlignment="1">
      <alignment horizontal="center"/>
    </xf>
    <xf numFmtId="0" fontId="81" fillId="0" borderId="34" xfId="0" applyFont="1" applyBorder="1" applyAlignment="1">
      <alignment horizontal="center"/>
    </xf>
    <xf numFmtId="0" fontId="81" fillId="0" borderId="35" xfId="0" applyFont="1" applyBorder="1" applyAlignment="1">
      <alignment horizontal="left"/>
    </xf>
    <xf numFmtId="0" fontId="81" fillId="0" borderId="36" xfId="0" applyFont="1" applyBorder="1" applyAlignment="1">
      <alignment wrapText="1"/>
    </xf>
    <xf numFmtId="183" fontId="81" fillId="0" borderId="36" xfId="0" applyNumberFormat="1" applyFont="1" applyBorder="1" applyAlignment="1">
      <alignment horizontal="right"/>
    </xf>
    <xf numFmtId="0" fontId="81" fillId="0" borderId="36" xfId="0" applyFont="1" applyBorder="1" applyAlignment="1">
      <alignment horizontal="right"/>
    </xf>
    <xf numFmtId="0" fontId="81" fillId="0" borderId="18" xfId="0" applyFont="1" applyBorder="1" applyAlignment="1">
      <alignment horizontal="right"/>
    </xf>
    <xf numFmtId="183" fontId="81" fillId="0" borderId="59" xfId="0" applyNumberFormat="1" applyFont="1" applyBorder="1"/>
    <xf numFmtId="183" fontId="81" fillId="0" borderId="65" xfId="0" applyNumberFormat="1" applyFont="1" applyBorder="1"/>
    <xf numFmtId="165" fontId="81" fillId="0" borderId="59" xfId="0" applyNumberFormat="1" applyFont="1" applyBorder="1"/>
    <xf numFmtId="165" fontId="81" fillId="0" borderId="65" xfId="0" applyNumberFormat="1" applyFont="1" applyBorder="1"/>
    <xf numFmtId="183" fontId="81" fillId="0" borderId="18" xfId="0" applyNumberFormat="1" applyFont="1" applyBorder="1" applyAlignment="1">
      <alignment horizontal="right"/>
    </xf>
    <xf numFmtId="40" fontId="81" fillId="0" borderId="59" xfId="0" applyNumberFormat="1" applyFont="1" applyBorder="1"/>
    <xf numFmtId="191" fontId="81" fillId="0" borderId="36" xfId="0" applyNumberFormat="1" applyFont="1" applyBorder="1" applyAlignment="1">
      <alignment horizontal="right"/>
    </xf>
    <xf numFmtId="183" fontId="82" fillId="0" borderId="59" xfId="0" applyNumberFormat="1" applyFont="1" applyBorder="1"/>
    <xf numFmtId="0" fontId="81" fillId="33" borderId="36" xfId="0" applyFont="1" applyFill="1" applyBorder="1" applyAlignment="1">
      <alignment wrapText="1"/>
    </xf>
    <xf numFmtId="40" fontId="81" fillId="0" borderId="36" xfId="0" applyNumberFormat="1" applyFont="1" applyBorder="1" applyAlignment="1">
      <alignment horizontal="right"/>
    </xf>
    <xf numFmtId="0" fontId="81" fillId="0" borderId="53" xfId="0" applyFont="1" applyBorder="1" applyAlignment="1">
      <alignment horizontal="left"/>
    </xf>
    <xf numFmtId="0" fontId="81" fillId="0" borderId="62" xfId="0" applyFont="1" applyBorder="1" applyAlignment="1">
      <alignment wrapText="1"/>
    </xf>
    <xf numFmtId="0" fontId="81" fillId="0" borderId="62" xfId="0" applyFont="1" applyBorder="1" applyAlignment="1">
      <alignment horizontal="right"/>
    </xf>
    <xf numFmtId="183" fontId="81" fillId="0" borderId="62" xfId="0" applyNumberFormat="1" applyFont="1" applyBorder="1" applyAlignment="1">
      <alignment horizontal="right"/>
    </xf>
    <xf numFmtId="0" fontId="81" fillId="0" borderId="0" xfId="0" applyFont="1" applyBorder="1" applyAlignment="1">
      <alignment horizontal="right"/>
    </xf>
    <xf numFmtId="0" fontId="81" fillId="0" borderId="57" xfId="0" applyFont="1" applyBorder="1"/>
    <xf numFmtId="165" fontId="81" fillId="0" borderId="57" xfId="0" applyNumberFormat="1" applyFont="1" applyBorder="1"/>
    <xf numFmtId="165" fontId="81" fillId="0" borderId="66" xfId="0" applyNumberFormat="1" applyFont="1" applyBorder="1"/>
    <xf numFmtId="0" fontId="81" fillId="0" borderId="62" xfId="0" applyFont="1" applyBorder="1"/>
    <xf numFmtId="0" fontId="81" fillId="0" borderId="54" xfId="0" applyFont="1" applyBorder="1"/>
    <xf numFmtId="165" fontId="81" fillId="0" borderId="54" xfId="0" applyNumberFormat="1" applyFont="1" applyBorder="1"/>
    <xf numFmtId="165" fontId="81" fillId="0" borderId="61" xfId="0" applyNumberFormat="1" applyFont="1" applyBorder="1"/>
    <xf numFmtId="2" fontId="81" fillId="0" borderId="38" xfId="0" applyNumberFormat="1" applyFont="1" applyBorder="1" applyAlignment="1">
      <alignment horizontal="left"/>
    </xf>
    <xf numFmtId="2" fontId="81" fillId="0" borderId="39" xfId="0" applyNumberFormat="1" applyFont="1" applyBorder="1" applyAlignment="1">
      <alignment wrapText="1"/>
    </xf>
    <xf numFmtId="2" fontId="81" fillId="0" borderId="39" xfId="0" applyNumberFormat="1" applyFont="1" applyBorder="1" applyAlignment="1">
      <alignment horizontal="right"/>
    </xf>
    <xf numFmtId="2" fontId="81" fillId="0" borderId="60" xfId="0" applyNumberFormat="1" applyFont="1" applyBorder="1" applyAlignment="1">
      <alignment horizontal="right"/>
    </xf>
    <xf numFmtId="2" fontId="81" fillId="0" borderId="63" xfId="0" applyNumberFormat="1" applyFont="1" applyBorder="1"/>
    <xf numFmtId="2" fontId="81" fillId="0" borderId="64" xfId="0" applyNumberFormat="1" applyFont="1" applyBorder="1"/>
    <xf numFmtId="2" fontId="81" fillId="0" borderId="73" xfId="0" applyNumberFormat="1" applyFont="1" applyBorder="1"/>
    <xf numFmtId="0" fontId="99" fillId="0" borderId="0" xfId="0" applyFont="1" applyAlignment="1">
      <alignment horizontal="centerContinuous"/>
    </xf>
    <xf numFmtId="0" fontId="81" fillId="0" borderId="41" xfId="0" applyFont="1" applyBorder="1" applyAlignment="1">
      <alignment horizontal="center"/>
    </xf>
    <xf numFmtId="0" fontId="81" fillId="0" borderId="42" xfId="0" applyFont="1" applyBorder="1" applyAlignment="1">
      <alignment horizontal="center"/>
    </xf>
    <xf numFmtId="0" fontId="81" fillId="0" borderId="43" xfId="0" applyFont="1" applyBorder="1" applyAlignment="1">
      <alignment horizontal="center"/>
    </xf>
    <xf numFmtId="0" fontId="81" fillId="0" borderId="44" xfId="0" applyFont="1" applyBorder="1" applyAlignment="1">
      <alignment horizontal="center"/>
    </xf>
    <xf numFmtId="0" fontId="81" fillId="0" borderId="45" xfId="0" applyFont="1" applyBorder="1"/>
    <xf numFmtId="0" fontId="81" fillId="0" borderId="46" xfId="0" applyFont="1" applyBorder="1"/>
    <xf numFmtId="0" fontId="81" fillId="0" borderId="47" xfId="0" applyFont="1" applyBorder="1"/>
    <xf numFmtId="0" fontId="81" fillId="0" borderId="48" xfId="0" applyFont="1" applyBorder="1" applyAlignment="1">
      <alignment horizontal="center"/>
    </xf>
    <xf numFmtId="0" fontId="81" fillId="0" borderId="49" xfId="0" applyFont="1" applyBorder="1" applyAlignment="1">
      <alignment horizontal="center"/>
    </xf>
    <xf numFmtId="0" fontId="81" fillId="0" borderId="50" xfId="0" applyFont="1" applyBorder="1" applyAlignment="1">
      <alignment horizontal="left"/>
    </xf>
    <xf numFmtId="0" fontId="81" fillId="0" borderId="51" xfId="0" applyFont="1" applyBorder="1" applyAlignment="1">
      <alignment horizontal="right"/>
    </xf>
    <xf numFmtId="0" fontId="81" fillId="0" borderId="17" xfId="0" applyFont="1" applyBorder="1" applyAlignment="1">
      <alignment horizontal="right"/>
    </xf>
    <xf numFmtId="0" fontId="81" fillId="0" borderId="52" xfId="0" applyFont="1" applyBorder="1" applyAlignment="1">
      <alignment horizontal="right"/>
    </xf>
    <xf numFmtId="183" fontId="81" fillId="0" borderId="54" xfId="0" applyNumberFormat="1" applyFont="1" applyBorder="1" applyAlignment="1">
      <alignment horizontal="right"/>
    </xf>
    <xf numFmtId="183" fontId="81" fillId="0" borderId="0" xfId="0" applyNumberFormat="1" applyFont="1" applyAlignment="1">
      <alignment horizontal="right"/>
    </xf>
    <xf numFmtId="0" fontId="81" fillId="0" borderId="54" xfId="0" applyFont="1" applyBorder="1" applyAlignment="1">
      <alignment horizontal="right"/>
    </xf>
    <xf numFmtId="0" fontId="81" fillId="0" borderId="55" xfId="0" applyFont="1" applyBorder="1" applyAlignment="1">
      <alignment horizontal="right"/>
    </xf>
    <xf numFmtId="0" fontId="81" fillId="0" borderId="56" xfId="0" applyFont="1" applyBorder="1" applyAlignment="1">
      <alignment horizontal="left"/>
    </xf>
    <xf numFmtId="183" fontId="81" fillId="0" borderId="57" xfId="0" applyNumberFormat="1" applyFont="1" applyBorder="1" applyAlignment="1">
      <alignment horizontal="right"/>
    </xf>
    <xf numFmtId="0" fontId="81" fillId="0" borderId="37" xfId="0" applyFont="1" applyBorder="1" applyAlignment="1">
      <alignment horizontal="right"/>
    </xf>
    <xf numFmtId="0" fontId="81" fillId="0" borderId="45" xfId="0" applyFont="1" applyBorder="1" applyAlignment="1">
      <alignment horizontal="left"/>
    </xf>
    <xf numFmtId="0" fontId="81" fillId="0" borderId="46" xfId="0" applyFont="1" applyBorder="1" applyAlignment="1">
      <alignment horizontal="right"/>
    </xf>
    <xf numFmtId="0" fontId="81" fillId="0" borderId="47" xfId="0" applyFont="1" applyBorder="1" applyAlignment="1">
      <alignment horizontal="right"/>
    </xf>
    <xf numFmtId="0" fontId="81" fillId="0" borderId="58" xfId="0" applyFont="1" applyBorder="1" applyAlignment="1">
      <alignment horizontal="right"/>
    </xf>
    <xf numFmtId="40" fontId="81" fillId="0" borderId="0" xfId="0" applyNumberFormat="1" applyFont="1"/>
    <xf numFmtId="0" fontId="81" fillId="0" borderId="0" xfId="0" applyFont="1" applyFill="1" applyBorder="1" applyAlignment="1">
      <alignment horizontal="right"/>
    </xf>
    <xf numFmtId="183" fontId="81" fillId="0" borderId="17" xfId="0" applyNumberFormat="1" applyFont="1" applyBorder="1" applyAlignment="1">
      <alignment horizontal="right"/>
    </xf>
    <xf numFmtId="183" fontId="81" fillId="0" borderId="47" xfId="0" applyNumberFormat="1" applyFont="1" applyBorder="1" applyAlignment="1">
      <alignment horizontal="right"/>
    </xf>
    <xf numFmtId="165" fontId="81" fillId="35" borderId="65" xfId="0" applyNumberFormat="1" applyFont="1" applyFill="1" applyBorder="1"/>
    <xf numFmtId="183" fontId="81" fillId="35" borderId="65" xfId="0" applyNumberFormat="1" applyFont="1" applyFill="1" applyBorder="1"/>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xf numFmtId="0" fontId="0" fillId="0" borderId="46" xfId="0" applyBorder="1"/>
    <xf numFmtId="0" fontId="0" fillId="0" borderId="47" xfId="0" applyBorder="1"/>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left"/>
    </xf>
    <xf numFmtId="0" fontId="0" fillId="0" borderId="51" xfId="0" applyBorder="1" applyAlignment="1">
      <alignment horizontal="right"/>
    </xf>
    <xf numFmtId="0" fontId="0" fillId="0" borderId="17" xfId="0" applyBorder="1" applyAlignment="1">
      <alignment horizontal="right"/>
    </xf>
    <xf numFmtId="0" fontId="0" fillId="0" borderId="52" xfId="0" applyBorder="1" applyAlignment="1">
      <alignment horizontal="right"/>
    </xf>
    <xf numFmtId="0" fontId="0" fillId="0" borderId="53" xfId="0" applyBorder="1" applyAlignment="1">
      <alignment horizontal="left"/>
    </xf>
    <xf numFmtId="183" fontId="0" fillId="0" borderId="54" xfId="0" applyNumberFormat="1" applyBorder="1" applyAlignment="1">
      <alignment horizontal="right"/>
    </xf>
    <xf numFmtId="183" fontId="0" fillId="0" borderId="0" xfId="0" applyNumberFormat="1" applyAlignment="1">
      <alignment horizontal="right"/>
    </xf>
    <xf numFmtId="0" fontId="0" fillId="0" borderId="54" xfId="0" applyBorder="1" applyAlignment="1">
      <alignment horizontal="right"/>
    </xf>
    <xf numFmtId="0" fontId="0" fillId="0" borderId="55" xfId="0" applyBorder="1" applyAlignment="1">
      <alignment horizontal="right"/>
    </xf>
    <xf numFmtId="0" fontId="0" fillId="0" borderId="56" xfId="0" applyBorder="1" applyAlignment="1">
      <alignment horizontal="left"/>
    </xf>
    <xf numFmtId="183" fontId="0" fillId="0" borderId="57" xfId="0" applyNumberFormat="1" applyBorder="1" applyAlignment="1">
      <alignment horizontal="right"/>
    </xf>
    <xf numFmtId="183" fontId="0" fillId="0" borderId="18" xfId="0" applyNumberFormat="1" applyBorder="1" applyAlignment="1">
      <alignment horizontal="right"/>
    </xf>
    <xf numFmtId="0" fontId="0" fillId="0" borderId="57" xfId="0" applyBorder="1" applyAlignment="1">
      <alignment horizontal="right"/>
    </xf>
    <xf numFmtId="0" fontId="0" fillId="0" borderId="45" xfId="0" applyBorder="1" applyAlignment="1">
      <alignment horizontal="left"/>
    </xf>
    <xf numFmtId="0" fontId="0" fillId="0" borderId="46" xfId="0" applyBorder="1" applyAlignment="1">
      <alignment horizontal="right"/>
    </xf>
    <xf numFmtId="0" fontId="0" fillId="0" borderId="47" xfId="0" applyBorder="1" applyAlignment="1">
      <alignment horizontal="right"/>
    </xf>
    <xf numFmtId="0" fontId="0" fillId="0" borderId="58" xfId="0" applyBorder="1" applyAlignment="1">
      <alignment horizontal="right"/>
    </xf>
    <xf numFmtId="195" fontId="81" fillId="0" borderId="0" xfId="0" applyNumberFormat="1" applyFont="1"/>
    <xf numFmtId="0" fontId="81" fillId="0" borderId="0" xfId="0" applyFont="1" applyBorder="1"/>
    <xf numFmtId="0" fontId="0" fillId="0" borderId="0" xfId="0" applyBorder="1" applyAlignment="1">
      <alignment horizontal="centerContinuous"/>
    </xf>
    <xf numFmtId="0" fontId="0" fillId="0" borderId="0" xfId="0" applyBorder="1" applyAlignment="1">
      <alignment horizontal="center"/>
    </xf>
    <xf numFmtId="0" fontId="0" fillId="0" borderId="0" xfId="0" applyBorder="1"/>
    <xf numFmtId="0" fontId="0" fillId="0" borderId="0" xfId="0" applyBorder="1" applyAlignment="1">
      <alignment wrapText="1"/>
    </xf>
    <xf numFmtId="183" fontId="0" fillId="0" borderId="0" xfId="0" applyNumberFormat="1" applyBorder="1" applyAlignment="1">
      <alignment horizontal="right"/>
    </xf>
    <xf numFmtId="0" fontId="0" fillId="0" borderId="0" xfId="0" applyBorder="1" applyAlignment="1">
      <alignment horizontal="right"/>
    </xf>
    <xf numFmtId="165" fontId="81" fillId="0" borderId="0" xfId="0" applyNumberFormat="1" applyFont="1" applyBorder="1"/>
    <xf numFmtId="191" fontId="0" fillId="0" borderId="0" xfId="0" applyNumberFormat="1" applyBorder="1" applyAlignment="1">
      <alignment horizontal="right"/>
    </xf>
    <xf numFmtId="2" fontId="81" fillId="0" borderId="0" xfId="0" applyNumberFormat="1" applyFont="1" applyBorder="1"/>
    <xf numFmtId="0" fontId="80" fillId="0" borderId="0" xfId="0" applyFont="1" applyAlignment="1">
      <alignment horizontal="center" vertical="center" wrapText="1"/>
    </xf>
    <xf numFmtId="0" fontId="80" fillId="0" borderId="17" xfId="0" applyFont="1" applyBorder="1" applyAlignment="1">
      <alignment horizontal="center" vertical="center" wrapText="1"/>
    </xf>
    <xf numFmtId="0" fontId="75" fillId="0" borderId="17" xfId="0" applyFont="1" applyBorder="1"/>
    <xf numFmtId="166" fontId="12" fillId="0" borderId="0" xfId="685" applyNumberFormat="1" applyFont="1" applyFill="1" applyBorder="1"/>
    <xf numFmtId="0" fontId="75" fillId="0" borderId="0" xfId="0" applyFont="1" applyAlignment="1">
      <alignment horizontal="left" vertical="center" indent="5"/>
    </xf>
    <xf numFmtId="0" fontId="75" fillId="0" borderId="59" xfId="0" applyFont="1" applyBorder="1"/>
    <xf numFmtId="0" fontId="75" fillId="0" borderId="59" xfId="0" applyFont="1" applyBorder="1" applyAlignment="1">
      <alignment horizontal="left" vertical="center" indent="5"/>
    </xf>
    <xf numFmtId="14" fontId="75" fillId="0" borderId="59" xfId="0" applyNumberFormat="1" applyFont="1" applyBorder="1"/>
    <xf numFmtId="168" fontId="75" fillId="0" borderId="59" xfId="685" applyNumberFormat="1" applyFont="1" applyBorder="1" applyAlignment="1">
      <alignment horizontal="left" vertical="center" indent="5"/>
    </xf>
    <xf numFmtId="168" fontId="75" fillId="0" borderId="59" xfId="685" applyNumberFormat="1" applyFont="1" applyBorder="1"/>
    <xf numFmtId="0" fontId="71" fillId="0" borderId="0" xfId="0" applyFont="1"/>
    <xf numFmtId="14" fontId="80" fillId="0" borderId="0" xfId="0" applyNumberFormat="1" applyFont="1" applyAlignment="1">
      <alignment horizontal="center" vertical="center" wrapText="1"/>
    </xf>
    <xf numFmtId="14" fontId="88" fillId="0" borderId="0" xfId="0" applyNumberFormat="1" applyFont="1"/>
    <xf numFmtId="14" fontId="75" fillId="0" borderId="0" xfId="0" applyNumberFormat="1" applyFont="1"/>
    <xf numFmtId="168" fontId="75" fillId="0" borderId="0" xfId="685" applyNumberFormat="1" applyFont="1"/>
    <xf numFmtId="43" fontId="75" fillId="0" borderId="59" xfId="685" applyFont="1" applyBorder="1"/>
    <xf numFmtId="168" fontId="75" fillId="0" borderId="59" xfId="0" applyNumberFormat="1" applyFont="1" applyBorder="1"/>
    <xf numFmtId="168" fontId="75" fillId="0" borderId="0" xfId="0" applyNumberFormat="1" applyFont="1"/>
    <xf numFmtId="168" fontId="75" fillId="37" borderId="0" xfId="685" applyNumberFormat="1" applyFont="1" applyFill="1"/>
    <xf numFmtId="168" fontId="75" fillId="0" borderId="0" xfId="685" applyNumberFormat="1" applyFont="1" applyFill="1"/>
    <xf numFmtId="0" fontId="75" fillId="38" borderId="0" xfId="0" applyFont="1" applyFill="1"/>
    <xf numFmtId="168" fontId="75" fillId="33" borderId="0" xfId="685" applyNumberFormat="1" applyFont="1" applyFill="1"/>
    <xf numFmtId="166" fontId="75" fillId="0" borderId="0" xfId="0" applyNumberFormat="1" applyFont="1"/>
    <xf numFmtId="0" fontId="88" fillId="0" borderId="0" xfId="0" applyFont="1"/>
    <xf numFmtId="166" fontId="12" fillId="0" borderId="74" xfId="685" applyNumberFormat="1" applyFont="1" applyFill="1" applyBorder="1" applyAlignment="1"/>
    <xf numFmtId="0" fontId="75" fillId="33" borderId="0" xfId="0" applyFont="1" applyFill="1"/>
    <xf numFmtId="166" fontId="100" fillId="0" borderId="0" xfId="685" applyNumberFormat="1" applyFont="1" applyFill="1" applyBorder="1"/>
    <xf numFmtId="0" fontId="79" fillId="0" borderId="0" xfId="0" applyFont="1" applyAlignment="1">
      <alignment horizontal="center"/>
    </xf>
    <xf numFmtId="0" fontId="12" fillId="0" borderId="0" xfId="0" applyFont="1" applyAlignment="1">
      <alignment horizontal="justify" vertical="top" wrapText="1"/>
    </xf>
    <xf numFmtId="0" fontId="0" fillId="0" borderId="0" xfId="0" applyBorder="1" applyAlignment="1">
      <alignment horizontal="center" vertical="center"/>
    </xf>
    <xf numFmtId="3" fontId="0" fillId="0" borderId="0" xfId="0" applyNumberFormat="1" applyBorder="1"/>
    <xf numFmtId="166" fontId="91" fillId="0" borderId="0" xfId="0" applyNumberFormat="1" applyFont="1" applyFill="1" applyBorder="1" applyAlignment="1">
      <alignment horizontal="center" vertical="center" wrapText="1"/>
    </xf>
    <xf numFmtId="166" fontId="12" fillId="0" borderId="0" xfId="685" applyNumberFormat="1" applyFont="1" applyFill="1" applyAlignment="1">
      <alignment horizontal="right"/>
    </xf>
    <xf numFmtId="166" fontId="8" fillId="0" borderId="0" xfId="685" applyNumberFormat="1" applyFont="1" applyFill="1" applyAlignment="1">
      <alignment horizontal="right"/>
    </xf>
    <xf numFmtId="166" fontId="12" fillId="0" borderId="0" xfId="685" applyNumberFormat="1" applyFont="1" applyFill="1" applyBorder="1" applyAlignment="1">
      <alignment horizontal="right"/>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left" vertical="top" wrapText="1"/>
    </xf>
    <xf numFmtId="0" fontId="3" fillId="0" borderId="0" xfId="0" applyFont="1" applyFill="1" applyAlignment="1">
      <alignment horizontal="left" vertical="top"/>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166" fontId="3" fillId="0" borderId="0" xfId="0" applyNumberFormat="1" applyFont="1" applyFill="1" applyAlignment="1">
      <alignment horizontal="center"/>
    </xf>
    <xf numFmtId="167" fontId="4" fillId="0" borderId="0" xfId="0" applyNumberFormat="1" applyFont="1" applyFill="1" applyAlignment="1">
      <alignment horizontal="center" vertical="center" wrapText="1"/>
    </xf>
    <xf numFmtId="0" fontId="8" fillId="0" borderId="0" xfId="0" applyFont="1" applyFill="1"/>
    <xf numFmtId="0" fontId="9" fillId="0" borderId="0" xfId="0" applyFont="1" applyFill="1"/>
    <xf numFmtId="0" fontId="6" fillId="0" borderId="0" xfId="0" applyFont="1" applyFill="1"/>
    <xf numFmtId="0" fontId="9" fillId="0" borderId="21" xfId="0" applyFont="1" applyFill="1" applyBorder="1"/>
    <xf numFmtId="0" fontId="11" fillId="0" borderId="0" xfId="0" applyFont="1" applyFill="1"/>
    <xf numFmtId="0" fontId="7" fillId="0" borderId="0" xfId="0" applyFont="1" applyFill="1" applyAlignment="1">
      <alignment horizontal="left" vertical="top"/>
    </xf>
    <xf numFmtId="166" fontId="12" fillId="0" borderId="0" xfId="685" applyNumberFormat="1" applyFont="1" applyFill="1" applyBorder="1" applyAlignment="1"/>
    <xf numFmtId="166" fontId="12" fillId="0" borderId="0" xfId="685" applyNumberFormat="1" applyFont="1" applyFill="1" applyAlignment="1"/>
    <xf numFmtId="0" fontId="3" fillId="0" borderId="0" xfId="0" applyFont="1" applyFill="1" applyBorder="1" applyAlignment="1">
      <alignment horizontal="center"/>
    </xf>
    <xf numFmtId="0" fontId="12" fillId="0" borderId="0" xfId="0" applyFont="1" applyFill="1" applyBorder="1" applyAlignment="1">
      <alignment horizontal="center"/>
    </xf>
    <xf numFmtId="166" fontId="12" fillId="0" borderId="17" xfId="685" applyNumberFormat="1" applyFont="1" applyFill="1" applyBorder="1" applyAlignment="1">
      <alignment horizontal="right"/>
    </xf>
    <xf numFmtId="0" fontId="3" fillId="0" borderId="0" xfId="0" applyFont="1" applyFill="1" applyAlignment="1"/>
    <xf numFmtId="0" fontId="11" fillId="0" borderId="0" xfId="0" applyFont="1" applyFill="1" applyAlignment="1"/>
    <xf numFmtId="0" fontId="12" fillId="0" borderId="2" xfId="0" applyFont="1" applyFill="1" applyBorder="1" applyAlignment="1">
      <alignment horizontal="center"/>
    </xf>
    <xf numFmtId="166" fontId="12" fillId="0" borderId="0" xfId="685" applyNumberFormat="1" applyFont="1" applyFill="1" applyAlignment="1">
      <alignment horizontal="right"/>
    </xf>
    <xf numFmtId="0" fontId="11" fillId="0" borderId="0" xfId="0" applyFont="1" applyFill="1" applyBorder="1" applyAlignment="1">
      <alignment horizontal="center"/>
    </xf>
    <xf numFmtId="0" fontId="11" fillId="0" borderId="17" xfId="0" applyFont="1" applyFill="1" applyBorder="1" applyAlignment="1">
      <alignment horizontal="center"/>
    </xf>
    <xf numFmtId="0" fontId="11" fillId="0" borderId="0" xfId="0" applyFont="1" applyFill="1" applyBorder="1" applyAlignment="1">
      <alignment horizontal="center" vertical="center" wrapText="1"/>
    </xf>
    <xf numFmtId="0" fontId="11" fillId="0" borderId="17" xfId="0" applyFont="1" applyFill="1" applyBorder="1" applyAlignment="1">
      <alignment horizontal="center" vertical="center" wrapText="1"/>
    </xf>
    <xf numFmtId="166" fontId="8" fillId="0" borderId="19" xfId="685" applyNumberFormat="1" applyFont="1" applyFill="1" applyBorder="1" applyAlignment="1">
      <alignment horizontal="right"/>
    </xf>
    <xf numFmtId="0" fontId="12" fillId="0" borderId="0" xfId="0" applyFont="1" applyFill="1" applyAlignment="1"/>
    <xf numFmtId="0" fontId="12" fillId="0" borderId="0" xfId="0" applyFont="1" applyFill="1" applyAlignment="1">
      <alignment horizontal="left"/>
    </xf>
    <xf numFmtId="166" fontId="11" fillId="0" borderId="20" xfId="0" applyNumberFormat="1" applyFont="1" applyFill="1" applyBorder="1"/>
    <xf numFmtId="166" fontId="12" fillId="0" borderId="0" xfId="685" applyNumberFormat="1" applyFont="1" applyFill="1" applyAlignment="1">
      <alignment horizontal="center"/>
    </xf>
    <xf numFmtId="166" fontId="8" fillId="0" borderId="19" xfId="685" applyNumberFormat="1" applyFont="1" applyFill="1" applyBorder="1" applyAlignment="1"/>
    <xf numFmtId="166" fontId="90" fillId="0" borderId="19" xfId="685" applyNumberFormat="1" applyFont="1" applyFill="1" applyBorder="1" applyAlignment="1">
      <alignment horizontal="right"/>
    </xf>
    <xf numFmtId="0" fontId="0" fillId="0" borderId="17" xfId="0" applyFill="1" applyBorder="1" applyAlignment="1">
      <alignment horizontal="right"/>
    </xf>
    <xf numFmtId="0" fontId="3" fillId="0" borderId="18" xfId="0" applyFont="1" applyFill="1" applyBorder="1" applyAlignment="1">
      <alignment horizontal="center"/>
    </xf>
    <xf numFmtId="0" fontId="3" fillId="0" borderId="0" xfId="0" applyFont="1" applyFill="1" applyAlignment="1">
      <alignment horizontal="left"/>
    </xf>
    <xf numFmtId="0" fontId="13" fillId="0" borderId="0" xfId="0" applyFont="1" applyFill="1" applyAlignment="1"/>
    <xf numFmtId="0" fontId="0" fillId="0" borderId="0" xfId="0" applyFill="1" applyAlignment="1"/>
    <xf numFmtId="166" fontId="8" fillId="0" borderId="18" xfId="685" applyNumberFormat="1" applyFont="1" applyFill="1" applyBorder="1" applyAlignment="1">
      <alignment horizontal="right"/>
    </xf>
    <xf numFmtId="166" fontId="3" fillId="0" borderId="0" xfId="0" applyNumberFormat="1" applyFont="1" applyFill="1"/>
    <xf numFmtId="0" fontId="9" fillId="0" borderId="16" xfId="0" applyFont="1" applyFill="1" applyBorder="1" applyAlignment="1">
      <alignment horizontal="center"/>
    </xf>
    <xf numFmtId="0" fontId="11" fillId="0" borderId="0" xfId="0" applyFont="1" applyFill="1" applyAlignment="1">
      <alignment horizontal="left" vertical="top" wrapText="1"/>
    </xf>
    <xf numFmtId="0" fontId="16" fillId="0" borderId="0"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166" fontId="11" fillId="0" borderId="19" xfId="0" applyNumberFormat="1" applyFont="1" applyFill="1" applyBorder="1" applyAlignment="1">
      <alignment vertical="center"/>
    </xf>
    <xf numFmtId="0" fontId="3" fillId="0" borderId="0" xfId="0" applyFont="1" applyFill="1" applyAlignment="1">
      <alignment wrapText="1"/>
    </xf>
    <xf numFmtId="0" fontId="15" fillId="0" borderId="0" xfId="0" applyFont="1" applyFill="1" applyAlignment="1">
      <alignment wrapText="1"/>
    </xf>
    <xf numFmtId="166" fontId="8" fillId="0" borderId="0" xfId="685" applyNumberFormat="1" applyFont="1" applyFill="1" applyAlignment="1">
      <alignment horizontal="right"/>
    </xf>
    <xf numFmtId="0" fontId="11" fillId="0" borderId="19" xfId="0" applyFont="1" applyFill="1" applyBorder="1" applyAlignment="1">
      <alignment horizontal="center" vertical="center" wrapText="1"/>
    </xf>
    <xf numFmtId="166" fontId="8" fillId="0" borderId="20" xfId="685" applyNumberFormat="1" applyFont="1" applyFill="1" applyBorder="1" applyAlignment="1">
      <alignment horizontal="right"/>
    </xf>
    <xf numFmtId="166" fontId="3" fillId="0" borderId="0" xfId="0" applyNumberFormat="1" applyFont="1" applyFill="1" applyBorder="1" applyAlignment="1">
      <alignment horizontal="center"/>
    </xf>
    <xf numFmtId="0" fontId="12" fillId="0" borderId="0" xfId="0" applyFont="1" applyFill="1" applyAlignment="1">
      <alignment horizontal="left" vertical="top" wrapText="1"/>
    </xf>
    <xf numFmtId="166" fontId="8" fillId="0" borderId="17" xfId="685" applyNumberFormat="1" applyFont="1" applyFill="1" applyBorder="1" applyAlignment="1">
      <alignment horizontal="right"/>
    </xf>
    <xf numFmtId="166" fontId="3" fillId="0" borderId="0" xfId="0" applyNumberFormat="1" applyFont="1" applyFill="1" applyBorder="1" applyAlignment="1"/>
    <xf numFmtId="166" fontId="11" fillId="0" borderId="0" xfId="0" applyNumberFormat="1" applyFont="1" applyFill="1" applyBorder="1" applyAlignment="1">
      <alignment horizontal="center"/>
    </xf>
    <xf numFmtId="0" fontId="3" fillId="0" borderId="0" xfId="0" applyFont="1" applyFill="1" applyBorder="1" applyAlignment="1">
      <alignment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166" fontId="11" fillId="0" borderId="19" xfId="0" applyNumberFormat="1" applyFont="1" applyFill="1" applyBorder="1" applyAlignment="1">
      <alignment horizontal="center"/>
    </xf>
    <xf numFmtId="0" fontId="11" fillId="0" borderId="0" xfId="0" applyFont="1" applyFill="1" applyBorder="1" applyAlignment="1">
      <alignment vertical="center" wrapText="1"/>
    </xf>
    <xf numFmtId="0" fontId="3" fillId="0" borderId="0" xfId="0" applyFont="1" applyFill="1" applyBorder="1" applyAlignment="1">
      <alignment horizontal="center" wrapText="1"/>
    </xf>
    <xf numFmtId="166" fontId="12" fillId="0" borderId="0" xfId="0" applyNumberFormat="1" applyFont="1" applyFill="1" applyBorder="1" applyAlignment="1">
      <alignment horizontal="center"/>
    </xf>
    <xf numFmtId="0" fontId="3" fillId="0" borderId="0" xfId="0" applyFont="1" applyFill="1" applyAlignment="1">
      <alignment vertical="center"/>
    </xf>
    <xf numFmtId="166" fontId="86" fillId="0" borderId="19" xfId="0" applyNumberFormat="1" applyFont="1" applyFill="1" applyBorder="1" applyAlignment="1">
      <alignment horizontal="center"/>
    </xf>
    <xf numFmtId="166" fontId="8" fillId="0" borderId="19" xfId="0" applyNumberFormat="1" applyFont="1" applyFill="1" applyBorder="1" applyAlignment="1">
      <alignment vertical="center"/>
    </xf>
    <xf numFmtId="0" fontId="3" fillId="0" borderId="0" xfId="0" applyFont="1" applyFill="1" applyBorder="1" applyAlignment="1">
      <alignment horizontal="left"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indent="1"/>
    </xf>
    <xf numFmtId="0" fontId="11" fillId="0" borderId="0" xfId="0" applyFont="1" applyFill="1" applyBorder="1"/>
    <xf numFmtId="0" fontId="3" fillId="0" borderId="0" xfId="0" applyFont="1" applyFill="1" applyBorder="1" applyAlignment="1">
      <alignment horizontal="left" vertical="top" wrapText="1" indent="1"/>
    </xf>
    <xf numFmtId="0" fontId="3" fillId="0" borderId="0" xfId="0" applyFont="1" applyFill="1" applyBorder="1" applyAlignment="1">
      <alignment horizontal="left" wrapText="1" indent="1"/>
    </xf>
    <xf numFmtId="0" fontId="12" fillId="0" borderId="0" xfId="0" applyFont="1" applyFill="1" applyBorder="1" applyAlignment="1">
      <alignment horizontal="left" vertical="center" wrapText="1" indent="1"/>
    </xf>
    <xf numFmtId="0" fontId="12" fillId="0" borderId="0" xfId="0" applyFont="1" applyFill="1" applyBorder="1"/>
    <xf numFmtId="0" fontId="3" fillId="0" borderId="0" xfId="0" applyFont="1" applyFill="1" applyBorder="1" applyAlignment="1">
      <alignment horizontal="left"/>
    </xf>
    <xf numFmtId="0" fontId="18" fillId="0" borderId="0" xfId="0" applyFont="1" applyFill="1" applyBorder="1"/>
    <xf numFmtId="0" fontId="3" fillId="0" borderId="0" xfId="0" applyFont="1" applyFill="1" applyBorder="1"/>
    <xf numFmtId="0" fontId="17" fillId="0" borderId="0" xfId="0" applyFont="1" applyFill="1" applyBorder="1" applyAlignment="1">
      <alignment horizontal="center" vertical="top" wrapText="1"/>
    </xf>
    <xf numFmtId="0" fontId="17" fillId="0" borderId="17" xfId="0" applyFont="1" applyFill="1" applyBorder="1" applyAlignment="1">
      <alignment horizontal="center" vertical="top" wrapText="1"/>
    </xf>
    <xf numFmtId="0" fontId="3" fillId="0" borderId="17" xfId="0" applyFont="1" applyFill="1" applyBorder="1" applyAlignment="1">
      <alignment horizontal="left" vertical="top" wrapText="1"/>
    </xf>
    <xf numFmtId="0" fontId="3" fillId="0" borderId="17" xfId="0" applyFont="1" applyFill="1" applyBorder="1" applyAlignment="1">
      <alignment vertical="top" wrapText="1"/>
    </xf>
    <xf numFmtId="0" fontId="3" fillId="0" borderId="0" xfId="0" applyFont="1" applyFill="1" applyAlignment="1">
      <alignment horizontal="justify" vertical="top" wrapText="1"/>
    </xf>
    <xf numFmtId="0" fontId="11" fillId="0" borderId="0" xfId="0" applyFont="1" applyFill="1" applyBorder="1" applyAlignment="1">
      <alignment horizontal="left" wrapText="1"/>
    </xf>
    <xf numFmtId="0" fontId="12" fillId="0" borderId="0" xfId="0" applyFont="1" applyFill="1" applyAlignment="1">
      <alignment vertical="top" wrapText="1"/>
    </xf>
    <xf numFmtId="0" fontId="3" fillId="0" borderId="0" xfId="0" applyFont="1" applyFill="1" applyAlignment="1">
      <alignment vertical="top" wrapText="1"/>
    </xf>
    <xf numFmtId="0" fontId="12" fillId="0" borderId="0" xfId="0" applyFont="1" applyFill="1" applyBorder="1" applyAlignment="1">
      <alignment vertical="top" wrapText="1"/>
    </xf>
    <xf numFmtId="170" fontId="12" fillId="0" borderId="0" xfId="0" applyNumberFormat="1" applyFont="1" applyFill="1" applyAlignment="1">
      <alignment horizontal="center" vertical="top" wrapText="1"/>
    </xf>
    <xf numFmtId="0" fontId="11" fillId="0" borderId="0" xfId="517" applyFont="1" applyFill="1" applyAlignment="1">
      <alignment horizontal="left" vertical="top" wrapText="1"/>
    </xf>
    <xf numFmtId="0" fontId="12" fillId="0" borderId="18" xfId="0" applyFont="1" applyFill="1" applyBorder="1" applyAlignment="1">
      <alignment vertical="top" wrapText="1"/>
    </xf>
    <xf numFmtId="0" fontId="3" fillId="0" borderId="0" xfId="0" applyFont="1" applyFill="1" applyBorder="1" applyAlignment="1">
      <alignment horizontal="left" vertical="top" wrapText="1"/>
    </xf>
    <xf numFmtId="0" fontId="11" fillId="0" borderId="0" xfId="517" applyFont="1" applyFill="1" applyAlignment="1">
      <alignment horizontal="center" vertical="top" wrapText="1"/>
    </xf>
    <xf numFmtId="49" fontId="11" fillId="0" borderId="0" xfId="517" applyNumberFormat="1" applyFont="1" applyFill="1" applyAlignment="1">
      <alignment horizontal="center" vertical="top" wrapText="1"/>
    </xf>
    <xf numFmtId="0" fontId="11" fillId="0" borderId="0" xfId="517" applyFont="1" applyFill="1" applyAlignment="1">
      <alignment horizontal="justify" vertical="top" wrapText="1"/>
    </xf>
    <xf numFmtId="0" fontId="84" fillId="0" borderId="0" xfId="0" applyFont="1" applyFill="1" applyAlignment="1">
      <alignment horizontal="left" vertical="top" wrapText="1"/>
    </xf>
    <xf numFmtId="0" fontId="19" fillId="0" borderId="0" xfId="0" applyFont="1" applyFill="1" applyAlignment="1">
      <alignment horizontal="left" indent="1"/>
    </xf>
    <xf numFmtId="0" fontId="11" fillId="0" borderId="0" xfId="0" applyFont="1" applyFill="1" applyAlignment="1">
      <alignment horizontal="center"/>
    </xf>
    <xf numFmtId="0" fontId="12" fillId="0" borderId="0" xfId="0" applyFont="1" applyFill="1" applyAlignment="1">
      <alignment horizontal="justify" vertical="top" wrapText="1"/>
    </xf>
    <xf numFmtId="0" fontId="11" fillId="0" borderId="0" xfId="0" applyFont="1" applyFill="1" applyAlignment="1">
      <alignment horizontal="justify" vertical="top" wrapText="1"/>
    </xf>
    <xf numFmtId="0" fontId="86" fillId="0" borderId="0" xfId="0" applyFont="1" applyFill="1" applyAlignment="1">
      <alignment horizontal="left" vertical="top" wrapText="1"/>
    </xf>
    <xf numFmtId="0" fontId="20" fillId="0" borderId="0" xfId="0" applyFont="1" applyFill="1" applyAlignment="1">
      <alignment horizontal="left" indent="1"/>
    </xf>
    <xf numFmtId="166" fontId="8" fillId="0" borderId="18" xfId="685" applyNumberFormat="1" applyFont="1" applyFill="1" applyBorder="1"/>
    <xf numFmtId="166" fontId="8" fillId="0" borderId="20" xfId="685" applyNumberFormat="1" applyFont="1" applyFill="1" applyBorder="1"/>
    <xf numFmtId="0" fontId="9" fillId="0" borderId="0" xfId="0" applyFont="1" applyFill="1" applyBorder="1" applyAlignment="1">
      <alignment horizontal="center"/>
    </xf>
    <xf numFmtId="166" fontId="11" fillId="0" borderId="20" xfId="685" applyNumberFormat="1" applyFont="1" applyFill="1" applyBorder="1"/>
    <xf numFmtId="0" fontId="21" fillId="0" borderId="17" xfId="0" applyFont="1" applyFill="1" applyBorder="1" applyAlignment="1">
      <alignment horizontal="right"/>
    </xf>
    <xf numFmtId="166" fontId="8" fillId="0" borderId="17" xfId="685" applyNumberFormat="1" applyFont="1" applyFill="1" applyBorder="1" applyAlignment="1"/>
    <xf numFmtId="0" fontId="8" fillId="0" borderId="0" xfId="0" applyFont="1" applyFill="1" applyBorder="1" applyAlignment="1">
      <alignment horizontal="center" vertical="center" textRotation="90" wrapText="1"/>
    </xf>
    <xf numFmtId="0" fontId="8" fillId="0" borderId="17" xfId="0" applyFont="1" applyFill="1" applyBorder="1" applyAlignment="1">
      <alignment horizontal="center" vertical="center" textRotation="90" wrapText="1"/>
    </xf>
    <xf numFmtId="0" fontId="9" fillId="0" borderId="18" xfId="0" applyFont="1" applyFill="1" applyBorder="1" applyAlignment="1">
      <alignment horizontal="center"/>
    </xf>
    <xf numFmtId="166" fontId="71" fillId="0" borderId="0" xfId="685" applyNumberFormat="1" applyFont="1" applyFill="1" applyBorder="1" applyAlignment="1">
      <alignment horizontal="right"/>
    </xf>
    <xf numFmtId="0" fontId="12" fillId="0" borderId="0" xfId="0" applyFont="1" applyFill="1"/>
    <xf numFmtId="0" fontId="21" fillId="0" borderId="0" xfId="0" applyFont="1" applyFill="1" applyBorder="1" applyAlignment="1">
      <alignment horizontal="right"/>
    </xf>
    <xf numFmtId="0" fontId="3" fillId="0" borderId="0" xfId="0" applyFont="1" applyAlignment="1">
      <alignment horizontal="center"/>
    </xf>
    <xf numFmtId="0" fontId="9" fillId="0" borderId="0" xfId="0" applyFont="1" applyFill="1" applyBorder="1" applyAlignment="1">
      <alignment horizontal="left" vertical="top"/>
    </xf>
    <xf numFmtId="0" fontId="22" fillId="0" borderId="0" xfId="0" applyFont="1" applyFill="1" applyAlignment="1">
      <alignment horizontal="left"/>
    </xf>
    <xf numFmtId="0" fontId="21" fillId="0" borderId="19" xfId="0" applyFont="1" applyFill="1" applyBorder="1" applyAlignment="1">
      <alignment horizontal="right"/>
    </xf>
    <xf numFmtId="166" fontId="8" fillId="0" borderId="0" xfId="685" applyNumberFormat="1" applyFont="1" applyFill="1" applyBorder="1" applyAlignment="1">
      <alignment horizontal="right"/>
    </xf>
    <xf numFmtId="0" fontId="22" fillId="0" borderId="0" xfId="0" applyFont="1" applyFill="1"/>
    <xf numFmtId="0" fontId="3" fillId="0" borderId="0" xfId="0" applyFont="1" applyFill="1" applyAlignment="1">
      <alignment horizontal="justify" vertical="top"/>
    </xf>
    <xf numFmtId="0" fontId="15" fillId="0" borderId="0" xfId="0" applyFont="1" applyFill="1" applyBorder="1" applyAlignment="1">
      <alignment horizontal="center" vertical="center" wrapText="1"/>
    </xf>
    <xf numFmtId="0" fontId="15" fillId="0" borderId="17" xfId="0" applyFont="1" applyFill="1" applyBorder="1" applyAlignment="1">
      <alignment horizontal="center" vertical="center" wrapText="1"/>
    </xf>
    <xf numFmtId="166" fontId="12" fillId="0" borderId="18" xfId="685" applyNumberFormat="1" applyFont="1" applyFill="1" applyBorder="1" applyAlignment="1">
      <alignment horizontal="center"/>
    </xf>
    <xf numFmtId="171" fontId="12" fillId="0" borderId="0" xfId="685" applyNumberFormat="1" applyFont="1" applyFill="1" applyBorder="1" applyAlignment="1">
      <alignment horizontal="center"/>
    </xf>
    <xf numFmtId="166" fontId="8" fillId="0" borderId="28" xfId="685" applyNumberFormat="1" applyFont="1" applyFill="1" applyBorder="1" applyAlignment="1">
      <alignment horizontal="center"/>
    </xf>
    <xf numFmtId="0" fontId="11" fillId="0" borderId="0" xfId="0" applyFont="1" applyFill="1" applyAlignment="1">
      <alignment horizontal="left"/>
    </xf>
    <xf numFmtId="171" fontId="8" fillId="0" borderId="28" xfId="685" applyNumberFormat="1" applyFont="1" applyFill="1" applyBorder="1" applyAlignment="1">
      <alignment horizontal="center"/>
    </xf>
    <xf numFmtId="0" fontId="13" fillId="0" borderId="17" xfId="0" applyFont="1" applyFill="1" applyBorder="1" applyAlignment="1">
      <alignment horizontal="center" vertical="center" wrapText="1"/>
    </xf>
    <xf numFmtId="166" fontId="12" fillId="0" borderId="17" xfId="685" applyNumberFormat="1" applyFont="1" applyFill="1" applyBorder="1" applyAlignment="1">
      <alignment horizontal="center"/>
    </xf>
    <xf numFmtId="171" fontId="12" fillId="0" borderId="17" xfId="685" applyNumberFormat="1" applyFont="1" applyFill="1" applyBorder="1" applyAlignment="1">
      <alignment horizontal="center"/>
    </xf>
    <xf numFmtId="0" fontId="23" fillId="0" borderId="0" xfId="0" applyFont="1" applyFill="1" applyBorder="1" applyAlignment="1">
      <alignment horizontal="center" vertical="center" wrapText="1"/>
    </xf>
    <xf numFmtId="0" fontId="23" fillId="0" borderId="17" xfId="0" applyFont="1" applyFill="1" applyBorder="1" applyAlignment="1">
      <alignment horizontal="center" vertical="center" wrapText="1"/>
    </xf>
    <xf numFmtId="166" fontId="3" fillId="0" borderId="0" xfId="0" applyNumberFormat="1" applyFont="1" applyFill="1" applyBorder="1" applyAlignment="1">
      <alignment horizontal="right" vertical="center" wrapText="1"/>
    </xf>
    <xf numFmtId="14" fontId="3" fillId="0" borderId="0" xfId="0" applyNumberFormat="1" applyFont="1" applyFill="1" applyBorder="1" applyAlignment="1">
      <alignment horizontal="center" vertical="center" wrapText="1"/>
    </xf>
    <xf numFmtId="171" fontId="3" fillId="0" borderId="0" xfId="0" applyNumberFormat="1" applyFont="1" applyFill="1" applyBorder="1" applyAlignment="1">
      <alignment horizontal="center" vertical="center" wrapText="1"/>
    </xf>
    <xf numFmtId="171" fontId="15" fillId="0" borderId="0" xfId="0" applyNumberFormat="1" applyFont="1" applyFill="1" applyBorder="1" applyAlignment="1">
      <alignment horizontal="center" vertical="center" wrapText="1"/>
    </xf>
    <xf numFmtId="166" fontId="3" fillId="0" borderId="18" xfId="0" applyNumberFormat="1" applyFont="1" applyFill="1" applyBorder="1" applyAlignment="1">
      <alignment horizontal="right" vertical="center" wrapText="1"/>
    </xf>
    <xf numFmtId="0" fontId="15" fillId="0" borderId="0" xfId="0" applyFont="1" applyFill="1" applyAlignment="1"/>
    <xf numFmtId="166" fontId="11" fillId="0" borderId="20" xfId="685" applyNumberFormat="1" applyFont="1" applyFill="1" applyBorder="1" applyAlignment="1">
      <alignment horizontal="right" vertical="center" wrapText="1"/>
    </xf>
    <xf numFmtId="14" fontId="3" fillId="0" borderId="18" xfId="0" applyNumberFormat="1" applyFont="1" applyFill="1" applyBorder="1" applyAlignment="1">
      <alignment horizontal="center" vertical="center" wrapText="1"/>
    </xf>
    <xf numFmtId="166" fontId="8" fillId="0" borderId="20" xfId="685" applyNumberFormat="1" applyFont="1" applyFill="1" applyBorder="1" applyAlignment="1">
      <alignment vertical="center"/>
    </xf>
    <xf numFmtId="14" fontId="3" fillId="0" borderId="0" xfId="0" applyNumberFormat="1" applyFont="1" applyFill="1" applyBorder="1" applyAlignment="1">
      <alignment horizontal="center" vertical="center"/>
    </xf>
    <xf numFmtId="166" fontId="12" fillId="0" borderId="0" xfId="685" applyNumberFormat="1" applyFont="1" applyFill="1" applyBorder="1" applyAlignment="1">
      <alignment horizontal="right" vertical="center"/>
    </xf>
    <xf numFmtId="166" fontId="12" fillId="0" borderId="17" xfId="685" applyNumberFormat="1" applyFont="1" applyFill="1" applyBorder="1" applyAlignment="1">
      <alignment horizontal="right" vertical="center"/>
    </xf>
    <xf numFmtId="166" fontId="12" fillId="0" borderId="18" xfId="685" applyNumberFormat="1" applyFont="1" applyFill="1" applyBorder="1" applyAlignment="1">
      <alignment horizontal="right"/>
    </xf>
    <xf numFmtId="0" fontId="3" fillId="0" borderId="18" xfId="0" applyFont="1" applyFill="1" applyBorder="1" applyAlignment="1">
      <alignment horizontal="center" vertical="center" wrapText="1"/>
    </xf>
    <xf numFmtId="171" fontId="3" fillId="0" borderId="18" xfId="685" applyNumberFormat="1" applyFont="1" applyFill="1" applyBorder="1" applyAlignment="1">
      <alignment horizontal="center" vertical="center"/>
    </xf>
    <xf numFmtId="171" fontId="3" fillId="0" borderId="0" xfId="685" applyNumberFormat="1" applyFont="1" applyFill="1" applyAlignment="1">
      <alignment horizontal="center" vertical="center"/>
    </xf>
    <xf numFmtId="166" fontId="3" fillId="0" borderId="18" xfId="685" applyNumberFormat="1" applyFont="1" applyFill="1" applyBorder="1" applyAlignment="1">
      <alignment horizontal="right" vertical="center"/>
    </xf>
    <xf numFmtId="166" fontId="3" fillId="0" borderId="0" xfId="685" applyNumberFormat="1" applyFont="1" applyFill="1" applyBorder="1" applyAlignment="1">
      <alignment horizontal="right" vertical="center"/>
    </xf>
    <xf numFmtId="166" fontId="12" fillId="0" borderId="18" xfId="685" applyNumberFormat="1" applyFont="1" applyFill="1" applyBorder="1" applyAlignment="1">
      <alignment horizontal="right" vertical="center"/>
    </xf>
    <xf numFmtId="14" fontId="3" fillId="0" borderId="18" xfId="0" applyNumberFormat="1" applyFont="1" applyFill="1" applyBorder="1" applyAlignment="1">
      <alignment horizontal="center" vertical="center"/>
    </xf>
    <xf numFmtId="171" fontId="3" fillId="0" borderId="0" xfId="685"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Alignment="1">
      <alignment horizontal="center"/>
    </xf>
    <xf numFmtId="166" fontId="8" fillId="0" borderId="0" xfId="685" applyNumberFormat="1" applyFont="1" applyFill="1" applyBorder="1"/>
    <xf numFmtId="166" fontId="8" fillId="0" borderId="28" xfId="685" applyNumberFormat="1" applyFont="1" applyFill="1" applyBorder="1" applyAlignment="1">
      <alignment vertical="center"/>
    </xf>
    <xf numFmtId="166" fontId="11" fillId="0" borderId="20" xfId="685" applyNumberFormat="1" applyFont="1" applyFill="1" applyBorder="1" applyAlignment="1">
      <alignment vertical="center"/>
    </xf>
    <xf numFmtId="166" fontId="3" fillId="0" borderId="0" xfId="0" applyNumberFormat="1" applyFont="1" applyFill="1" applyBorder="1" applyAlignment="1">
      <alignment vertical="center" wrapText="1"/>
    </xf>
    <xf numFmtId="166" fontId="3" fillId="0" borderId="0" xfId="685" applyNumberFormat="1" applyFont="1" applyFill="1" applyBorder="1" applyAlignment="1">
      <alignment vertical="center" wrapText="1"/>
    </xf>
    <xf numFmtId="166" fontId="3" fillId="0" borderId="18" xfId="0" applyNumberFormat="1" applyFont="1" applyFill="1" applyBorder="1" applyAlignment="1">
      <alignment vertical="center" wrapText="1"/>
    </xf>
    <xf numFmtId="0" fontId="3" fillId="0" borderId="18" xfId="0" applyFont="1" applyFill="1" applyBorder="1" applyAlignment="1">
      <alignment vertical="center" wrapText="1"/>
    </xf>
    <xf numFmtId="166" fontId="11" fillId="0" borderId="19" xfId="685" applyNumberFormat="1" applyFont="1" applyFill="1" applyBorder="1" applyAlignment="1">
      <alignment vertical="center" wrapText="1"/>
    </xf>
    <xf numFmtId="0" fontId="11" fillId="0" borderId="0" xfId="0" applyFont="1" applyFill="1" applyAlignment="1">
      <alignment vertical="center"/>
    </xf>
    <xf numFmtId="0" fontId="3" fillId="0" borderId="0" xfId="0" applyFont="1" applyFill="1" applyAlignment="1">
      <alignment horizontal="left" vertical="center" wrapText="1"/>
    </xf>
    <xf numFmtId="0" fontId="11" fillId="0" borderId="0" xfId="0" applyFont="1" applyFill="1" applyAlignment="1">
      <alignment horizontal="left" vertical="center" wrapText="1"/>
    </xf>
    <xf numFmtId="166" fontId="3" fillId="0" borderId="0" xfId="685" applyNumberFormat="1" applyFont="1" applyFill="1" applyBorder="1"/>
    <xf numFmtId="166" fontId="3" fillId="0" borderId="18" xfId="685" applyNumberFormat="1" applyFont="1" applyFill="1" applyBorder="1" applyAlignment="1">
      <alignment horizontal="right"/>
    </xf>
    <xf numFmtId="0" fontId="15" fillId="0" borderId="0" xfId="0" applyFont="1" applyFill="1" applyAlignment="1">
      <alignment vertical="center"/>
    </xf>
    <xf numFmtId="0" fontId="3" fillId="0" borderId="0" xfId="0" applyFont="1" applyFill="1" applyAlignment="1">
      <alignment horizontal="left" wrapText="1"/>
    </xf>
    <xf numFmtId="166" fontId="3" fillId="0" borderId="17" xfId="685" applyNumberFormat="1" applyFont="1" applyFill="1" applyBorder="1" applyAlignment="1">
      <alignment vertical="center" wrapText="1"/>
    </xf>
    <xf numFmtId="0" fontId="80" fillId="0" borderId="0" xfId="0" applyFont="1" applyFill="1" applyBorder="1" applyAlignment="1"/>
    <xf numFmtId="0" fontId="11" fillId="0" borderId="0" xfId="0" applyFont="1" applyFill="1" applyAlignment="1">
      <alignment horizontal="left" vertical="center"/>
    </xf>
    <xf numFmtId="0" fontId="9" fillId="0" borderId="0" xfId="0" applyFont="1" applyFill="1" applyBorder="1" applyAlignment="1">
      <alignment horizontal="left" wrapText="1"/>
    </xf>
    <xf numFmtId="0" fontId="9" fillId="0" borderId="21" xfId="0" applyFont="1" applyFill="1" applyBorder="1" applyAlignment="1">
      <alignment horizontal="left" wrapText="1"/>
    </xf>
    <xf numFmtId="0" fontId="3" fillId="0" borderId="0" xfId="0" quotePrefix="1" applyFont="1" applyFill="1" applyAlignment="1">
      <alignment horizontal="left" vertical="top" wrapText="1"/>
    </xf>
    <xf numFmtId="0" fontId="83" fillId="0" borderId="0" xfId="517" applyFont="1" applyFill="1" applyAlignment="1">
      <alignment horizontal="left" vertical="top" wrapText="1"/>
    </xf>
    <xf numFmtId="0" fontId="84" fillId="0" borderId="0" xfId="517" applyFont="1" applyFill="1" applyAlignment="1">
      <alignment horizontal="left" vertical="top" wrapText="1"/>
    </xf>
    <xf numFmtId="0" fontId="83" fillId="0" borderId="0" xfId="0" applyFont="1" applyFill="1" applyAlignment="1">
      <alignment horizontal="left" vertical="top" wrapText="1"/>
    </xf>
    <xf numFmtId="0" fontId="94" fillId="0" borderId="0" xfId="0" applyFont="1" applyFill="1" applyBorder="1" applyAlignment="1">
      <alignment horizontal="left" vertical="top" wrapText="1"/>
    </xf>
    <xf numFmtId="0" fontId="19" fillId="0" borderId="0" xfId="0" applyFont="1" applyFill="1" applyAlignment="1">
      <alignment horizontal="left" vertical="top" wrapText="1"/>
    </xf>
    <xf numFmtId="0" fontId="3" fillId="0" borderId="18" xfId="0" applyFont="1" applyFill="1" applyBorder="1" applyAlignment="1">
      <alignment horizontal="left" wrapText="1"/>
    </xf>
    <xf numFmtId="166" fontId="11" fillId="0" borderId="0" xfId="685" applyNumberFormat="1" applyFont="1" applyFill="1" applyBorder="1" applyAlignment="1">
      <alignment vertical="center" wrapText="1"/>
    </xf>
    <xf numFmtId="166" fontId="11" fillId="0" borderId="20" xfId="685" applyNumberFormat="1" applyFont="1" applyFill="1" applyBorder="1" applyAlignment="1">
      <alignment vertical="center" wrapText="1"/>
    </xf>
    <xf numFmtId="0" fontId="12" fillId="0" borderId="0" xfId="0" applyFont="1" applyFill="1" applyAlignment="1">
      <alignment horizontal="left" wrapText="1"/>
    </xf>
    <xf numFmtId="0" fontId="86" fillId="0" borderId="0" xfId="0" applyFont="1" applyFill="1" applyAlignment="1">
      <alignment horizontal="left"/>
    </xf>
    <xf numFmtId="0" fontId="87" fillId="0" borderId="0" xfId="0" applyFont="1" applyFill="1" applyBorder="1" applyAlignment="1">
      <alignment horizontal="left" vertical="top" wrapText="1"/>
    </xf>
    <xf numFmtId="0" fontId="87" fillId="0" borderId="0" xfId="0" applyFont="1" applyFill="1" applyBorder="1" applyAlignment="1">
      <alignment horizontal="left" wrapText="1"/>
    </xf>
    <xf numFmtId="0" fontId="88" fillId="0" borderId="0" xfId="0" applyFont="1" applyFill="1" applyBorder="1" applyAlignment="1">
      <alignment horizontal="left" wrapText="1"/>
    </xf>
    <xf numFmtId="0" fontId="12" fillId="0" borderId="0" xfId="0" applyFont="1" applyFill="1" applyBorder="1" applyAlignment="1">
      <alignment horizontal="left" vertical="top" wrapText="1"/>
    </xf>
    <xf numFmtId="0" fontId="81" fillId="0" borderId="59" xfId="0" applyFont="1" applyBorder="1" applyAlignment="1">
      <alignment horizontal="center" vertical="top"/>
    </xf>
    <xf numFmtId="0" fontId="81" fillId="0" borderId="59" xfId="0" applyFont="1" applyBorder="1" applyAlignment="1">
      <alignment horizontal="center" vertical="top" wrapText="1"/>
    </xf>
    <xf numFmtId="0" fontId="81" fillId="0" borderId="57" xfId="0" applyFont="1" applyBorder="1" applyAlignment="1">
      <alignment horizontal="center" vertical="top" wrapText="1"/>
    </xf>
    <xf numFmtId="0" fontId="81" fillId="0" borderId="51" xfId="0" applyFont="1" applyBorder="1" applyAlignment="1">
      <alignment horizontal="center" vertical="top" wrapText="1"/>
    </xf>
    <xf numFmtId="0" fontId="81" fillId="0" borderId="57" xfId="0" applyFont="1" applyBorder="1" applyAlignment="1">
      <alignment horizontal="center" wrapText="1"/>
    </xf>
    <xf numFmtId="0" fontId="81" fillId="0" borderId="51" xfId="0" applyFont="1" applyBorder="1" applyAlignment="1">
      <alignment horizontal="center" wrapText="1"/>
    </xf>
    <xf numFmtId="0" fontId="98" fillId="0" borderId="0" xfId="0" applyFont="1" applyAlignment="1">
      <alignment horizontal="left" wrapText="1"/>
    </xf>
    <xf numFmtId="0" fontId="81" fillId="0" borderId="59" xfId="0" applyFont="1" applyBorder="1" applyAlignment="1">
      <alignment horizontal="left" vertical="top" wrapText="1"/>
    </xf>
    <xf numFmtId="0" fontId="0" fillId="0" borderId="0" xfId="0" applyBorder="1" applyAlignment="1">
      <alignment horizontal="center"/>
    </xf>
    <xf numFmtId="0" fontId="0" fillId="0" borderId="0" xfId="0" applyBorder="1" applyAlignment="1">
      <alignment horizontal="center" vertical="justify"/>
    </xf>
    <xf numFmtId="0" fontId="75" fillId="0" borderId="0" xfId="0" applyFont="1"/>
    <xf numFmtId="166" fontId="12" fillId="0" borderId="0" xfId="685" applyNumberFormat="1" applyFont="1" applyFill="1" applyBorder="1"/>
    <xf numFmtId="0" fontId="75" fillId="0" borderId="0" xfId="0" applyFont="1" applyAlignment="1">
      <alignment horizontal="center"/>
    </xf>
    <xf numFmtId="0" fontId="80" fillId="0" borderId="0" xfId="0" applyFont="1" applyAlignment="1">
      <alignment horizontal="center" vertical="center" wrapText="1"/>
    </xf>
    <xf numFmtId="0" fontId="80" fillId="0" borderId="17" xfId="0" applyFont="1" applyBorder="1" applyAlignment="1">
      <alignment horizontal="center" vertical="center" wrapText="1"/>
    </xf>
    <xf numFmtId="0" fontId="80" fillId="0" borderId="0" xfId="0" applyFont="1"/>
    <xf numFmtId="166" fontId="8" fillId="0" borderId="19" xfId="685" applyNumberFormat="1" applyFont="1" applyFill="1" applyBorder="1"/>
    <xf numFmtId="166" fontId="75" fillId="0" borderId="18" xfId="0" applyNumberFormat="1" applyFont="1" applyBorder="1"/>
    <xf numFmtId="0" fontId="0" fillId="0" borderId="18" xfId="0" applyBorder="1"/>
    <xf numFmtId="166" fontId="75" fillId="0" borderId="0" xfId="0" applyNumberFormat="1" applyFont="1"/>
    <xf numFmtId="0" fontId="0" fillId="0" borderId="0" xfId="0"/>
    <xf numFmtId="166" fontId="12" fillId="0" borderId="18" xfId="685" applyNumberFormat="1" applyFont="1" applyFill="1" applyBorder="1"/>
    <xf numFmtId="166" fontId="12" fillId="0" borderId="19" xfId="685" applyNumberFormat="1" applyFont="1" applyFill="1" applyBorder="1"/>
    <xf numFmtId="0" fontId="80" fillId="0" borderId="0" xfId="0" applyFont="1" applyAlignment="1">
      <alignment horizontal="center"/>
    </xf>
    <xf numFmtId="0" fontId="75" fillId="0" borderId="0" xfId="0" applyFont="1" applyAlignment="1">
      <alignment horizontal="justify" vertical="top" wrapText="1"/>
    </xf>
    <xf numFmtId="0" fontId="75" fillId="0" borderId="0" xfId="0" applyFont="1" applyAlignment="1">
      <alignment horizontal="justify" vertical="top"/>
    </xf>
    <xf numFmtId="166" fontId="75" fillId="0" borderId="0" xfId="685" applyNumberFormat="1" applyFont="1" applyFill="1" applyBorder="1"/>
    <xf numFmtId="0" fontId="8" fillId="0" borderId="0" xfId="0" applyFont="1"/>
    <xf numFmtId="166" fontId="8" fillId="0" borderId="28" xfId="685" applyNumberFormat="1" applyFont="1" applyFill="1" applyBorder="1"/>
    <xf numFmtId="166" fontId="12" fillId="0" borderId="17" xfId="685" applyNumberFormat="1" applyFont="1" applyFill="1" applyBorder="1"/>
  </cellXfs>
  <cellStyles count="711">
    <cellStyle name="(Euro)" xfId="1"/>
    <cellStyle name="_Heading" xfId="2"/>
    <cellStyle name="_SubHeading" xfId="3"/>
    <cellStyle name="20% - Акцент1 10" xfId="4"/>
    <cellStyle name="20% - Акцент1 11" xfId="5"/>
    <cellStyle name="20% - Акцент1 12" xfId="6"/>
    <cellStyle name="20% - Акцент1 13" xfId="7"/>
    <cellStyle name="20% - Акцент1 14" xfId="8"/>
    <cellStyle name="20% - Акцент1 2" xfId="9"/>
    <cellStyle name="20% - Акцент1 3" xfId="10"/>
    <cellStyle name="20% - Акцент1 4" xfId="11"/>
    <cellStyle name="20% - Акцент1 5" xfId="12"/>
    <cellStyle name="20% - Акцент1 6" xfId="13"/>
    <cellStyle name="20% - Акцент1 7" xfId="14"/>
    <cellStyle name="20% - Акцент1 8" xfId="15"/>
    <cellStyle name="20% - Акцент1 9" xfId="16"/>
    <cellStyle name="20% - Акцент2 10" xfId="17"/>
    <cellStyle name="20% - Акцент2 11" xfId="18"/>
    <cellStyle name="20% - Акцент2 12" xfId="19"/>
    <cellStyle name="20% - Акцент2 13" xfId="20"/>
    <cellStyle name="20% - Акцент2 14" xfId="21"/>
    <cellStyle name="20% - Акцент2 2" xfId="22"/>
    <cellStyle name="20% - Акцент2 3" xfId="23"/>
    <cellStyle name="20% - Акцент2 4" xfId="24"/>
    <cellStyle name="20% - Акцент2 5" xfId="25"/>
    <cellStyle name="20% - Акцент2 6" xfId="26"/>
    <cellStyle name="20% - Акцент2 7" xfId="27"/>
    <cellStyle name="20% - Акцент2 8" xfId="28"/>
    <cellStyle name="20% - Акцент2 9" xfId="29"/>
    <cellStyle name="20% - Акцент3 10" xfId="30"/>
    <cellStyle name="20% - Акцент3 11" xfId="31"/>
    <cellStyle name="20% - Акцент3 12" xfId="32"/>
    <cellStyle name="20% - Акцент3 13" xfId="33"/>
    <cellStyle name="20% - Акцент3 14" xfId="34"/>
    <cellStyle name="20% - Акцент3 2" xfId="35"/>
    <cellStyle name="20% - Акцент3 3" xfId="36"/>
    <cellStyle name="20% - Акцент3 4" xfId="37"/>
    <cellStyle name="20% - Акцент3 5" xfId="38"/>
    <cellStyle name="20% - Акцент3 6" xfId="39"/>
    <cellStyle name="20% - Акцент3 7" xfId="40"/>
    <cellStyle name="20% - Акцент3 8" xfId="41"/>
    <cellStyle name="20% - Акцент3 9" xfId="42"/>
    <cellStyle name="20% - Акцент4 10" xfId="43"/>
    <cellStyle name="20% - Акцент4 11" xfId="44"/>
    <cellStyle name="20% - Акцент4 12" xfId="45"/>
    <cellStyle name="20% - Акцент4 13" xfId="46"/>
    <cellStyle name="20% - Акцент4 14" xfId="47"/>
    <cellStyle name="20% - Акцент4 2" xfId="48"/>
    <cellStyle name="20% - Акцент4 3" xfId="49"/>
    <cellStyle name="20% - Акцент4 4" xfId="50"/>
    <cellStyle name="20% - Акцент4 5" xfId="51"/>
    <cellStyle name="20% - Акцент4 6" xfId="52"/>
    <cellStyle name="20% - Акцент4 7" xfId="53"/>
    <cellStyle name="20% - Акцент4 8" xfId="54"/>
    <cellStyle name="20% - Акцент4 9" xfId="55"/>
    <cellStyle name="20% - Акцент5 10" xfId="56"/>
    <cellStyle name="20% - Акцент5 11" xfId="57"/>
    <cellStyle name="20% - Акцент5 12" xfId="58"/>
    <cellStyle name="20% - Акцент5 13" xfId="59"/>
    <cellStyle name="20% - Акцент5 14" xfId="60"/>
    <cellStyle name="20% - Акцент5 2" xfId="61"/>
    <cellStyle name="20% - Акцент5 3" xfId="62"/>
    <cellStyle name="20% - Акцент5 4" xfId="63"/>
    <cellStyle name="20% - Акцент5 5" xfId="64"/>
    <cellStyle name="20% - Акцент5 6" xfId="65"/>
    <cellStyle name="20% - Акцент5 7" xfId="66"/>
    <cellStyle name="20% - Акцент5 8" xfId="67"/>
    <cellStyle name="20% - Акцент5 9" xfId="68"/>
    <cellStyle name="20% - Акцент6 10" xfId="69"/>
    <cellStyle name="20% - Акцент6 11" xfId="70"/>
    <cellStyle name="20% - Акцент6 12" xfId="71"/>
    <cellStyle name="20% - Акцент6 13" xfId="72"/>
    <cellStyle name="20% - Акцент6 14" xfId="73"/>
    <cellStyle name="20% - Акцент6 2" xfId="74"/>
    <cellStyle name="20% - Акцент6 3" xfId="75"/>
    <cellStyle name="20% - Акцент6 4" xfId="76"/>
    <cellStyle name="20% - Акцент6 5" xfId="77"/>
    <cellStyle name="20% - Акцент6 6" xfId="78"/>
    <cellStyle name="20% - Акцент6 7" xfId="79"/>
    <cellStyle name="20% - Акцент6 8" xfId="80"/>
    <cellStyle name="20% - Акцент6 9" xfId="81"/>
    <cellStyle name="40% - Акцент1 10" xfId="82"/>
    <cellStyle name="40% - Акцент1 11" xfId="83"/>
    <cellStyle name="40% - Акцент1 12" xfId="84"/>
    <cellStyle name="40% - Акцент1 13" xfId="85"/>
    <cellStyle name="40% - Акцент1 14" xfId="86"/>
    <cellStyle name="40% - Акцент1 2" xfId="87"/>
    <cellStyle name="40% - Акцент1 3" xfId="88"/>
    <cellStyle name="40% - Акцент1 4" xfId="89"/>
    <cellStyle name="40% - Акцент1 5" xfId="90"/>
    <cellStyle name="40% - Акцент1 6" xfId="91"/>
    <cellStyle name="40% - Акцент1 7" xfId="92"/>
    <cellStyle name="40% - Акцент1 8" xfId="93"/>
    <cellStyle name="40% - Акцент1 9" xfId="94"/>
    <cellStyle name="40% - Акцент2 10" xfId="95"/>
    <cellStyle name="40% - Акцент2 11" xfId="96"/>
    <cellStyle name="40% - Акцент2 12" xfId="97"/>
    <cellStyle name="40% - Акцент2 13" xfId="98"/>
    <cellStyle name="40% - Акцент2 14" xfId="99"/>
    <cellStyle name="40% - Акцент2 2" xfId="100"/>
    <cellStyle name="40% - Акцент2 3" xfId="101"/>
    <cellStyle name="40% - Акцент2 4" xfId="102"/>
    <cellStyle name="40% - Акцент2 5" xfId="103"/>
    <cellStyle name="40% - Акцент2 6" xfId="104"/>
    <cellStyle name="40% - Акцент2 7" xfId="105"/>
    <cellStyle name="40% - Акцент2 8" xfId="106"/>
    <cellStyle name="40% - Акцент2 9" xfId="107"/>
    <cellStyle name="40% - Акцент3 10" xfId="108"/>
    <cellStyle name="40% - Акцент3 11" xfId="109"/>
    <cellStyle name="40% - Акцент3 12" xfId="110"/>
    <cellStyle name="40% - Акцент3 13" xfId="111"/>
    <cellStyle name="40% - Акцент3 14" xfId="112"/>
    <cellStyle name="40% - Акцент3 2" xfId="113"/>
    <cellStyle name="40% - Акцент3 3" xfId="114"/>
    <cellStyle name="40% - Акцент3 4" xfId="115"/>
    <cellStyle name="40% - Акцент3 5" xfId="116"/>
    <cellStyle name="40% - Акцент3 6" xfId="117"/>
    <cellStyle name="40% - Акцент3 7" xfId="118"/>
    <cellStyle name="40% - Акцент3 8" xfId="119"/>
    <cellStyle name="40% - Акцент3 9" xfId="120"/>
    <cellStyle name="40% - Акцент4 10" xfId="121"/>
    <cellStyle name="40% - Акцент4 11" xfId="122"/>
    <cellStyle name="40% - Акцент4 12" xfId="123"/>
    <cellStyle name="40% - Акцент4 13" xfId="124"/>
    <cellStyle name="40% - Акцент4 14" xfId="125"/>
    <cellStyle name="40% - Акцент4 2" xfId="126"/>
    <cellStyle name="40% - Акцент4 3" xfId="127"/>
    <cellStyle name="40% - Акцент4 4" xfId="128"/>
    <cellStyle name="40% - Акцент4 5" xfId="129"/>
    <cellStyle name="40% - Акцент4 6" xfId="130"/>
    <cellStyle name="40% - Акцент4 7" xfId="131"/>
    <cellStyle name="40% - Акцент4 8" xfId="132"/>
    <cellStyle name="40% - Акцент4 9" xfId="133"/>
    <cellStyle name="40% - Акцент5 10" xfId="134"/>
    <cellStyle name="40% - Акцент5 11" xfId="135"/>
    <cellStyle name="40% - Акцент5 12" xfId="136"/>
    <cellStyle name="40% - Акцент5 13" xfId="137"/>
    <cellStyle name="40% - Акцент5 14" xfId="138"/>
    <cellStyle name="40% - Акцент5 2" xfId="139"/>
    <cellStyle name="40% - Акцент5 3" xfId="140"/>
    <cellStyle name="40% - Акцент5 4" xfId="141"/>
    <cellStyle name="40% - Акцент5 5" xfId="142"/>
    <cellStyle name="40% - Акцент5 6" xfId="143"/>
    <cellStyle name="40% - Акцент5 7" xfId="144"/>
    <cellStyle name="40% - Акцент5 8" xfId="145"/>
    <cellStyle name="40% - Акцент5 9" xfId="146"/>
    <cellStyle name="40% - Акцент6 10" xfId="147"/>
    <cellStyle name="40% - Акцент6 11" xfId="148"/>
    <cellStyle name="40% - Акцент6 12" xfId="149"/>
    <cellStyle name="40% - Акцент6 13" xfId="150"/>
    <cellStyle name="40% - Акцент6 14" xfId="151"/>
    <cellStyle name="40% - Акцент6 2" xfId="152"/>
    <cellStyle name="40% - Акцент6 3" xfId="153"/>
    <cellStyle name="40% - Акцент6 4" xfId="154"/>
    <cellStyle name="40% - Акцент6 5" xfId="155"/>
    <cellStyle name="40% - Акцент6 6" xfId="156"/>
    <cellStyle name="40% - Акцент6 7" xfId="157"/>
    <cellStyle name="40% - Акцент6 8" xfId="158"/>
    <cellStyle name="40% - Акцент6 9" xfId="159"/>
    <cellStyle name="60% - Акцент1 10" xfId="160"/>
    <cellStyle name="60% - Акцент1 11" xfId="161"/>
    <cellStyle name="60% - Акцент1 12" xfId="162"/>
    <cellStyle name="60% - Акцент1 13" xfId="163"/>
    <cellStyle name="60% - Акцент1 14" xfId="164"/>
    <cellStyle name="60% - Акцент1 2" xfId="165"/>
    <cellStyle name="60% - Акцент1 3" xfId="166"/>
    <cellStyle name="60% - Акцент1 4" xfId="167"/>
    <cellStyle name="60% - Акцент1 5" xfId="168"/>
    <cellStyle name="60% - Акцент1 6" xfId="169"/>
    <cellStyle name="60% - Акцент1 7" xfId="170"/>
    <cellStyle name="60% - Акцент1 8" xfId="171"/>
    <cellStyle name="60% - Акцент1 9" xfId="172"/>
    <cellStyle name="60% - Акцент2 10" xfId="173"/>
    <cellStyle name="60% - Акцент2 11" xfId="174"/>
    <cellStyle name="60% - Акцент2 12" xfId="175"/>
    <cellStyle name="60% - Акцент2 13" xfId="176"/>
    <cellStyle name="60% - Акцент2 14" xfId="177"/>
    <cellStyle name="60% - Акцент2 2" xfId="178"/>
    <cellStyle name="60% - Акцент2 3" xfId="179"/>
    <cellStyle name="60% - Акцент2 4" xfId="180"/>
    <cellStyle name="60% - Акцент2 5" xfId="181"/>
    <cellStyle name="60% - Акцент2 6" xfId="182"/>
    <cellStyle name="60% - Акцент2 7" xfId="183"/>
    <cellStyle name="60% - Акцент2 8" xfId="184"/>
    <cellStyle name="60% - Акцент2 9" xfId="185"/>
    <cellStyle name="60% - Акцент3 10" xfId="186"/>
    <cellStyle name="60% - Акцент3 11" xfId="187"/>
    <cellStyle name="60% - Акцент3 12" xfId="188"/>
    <cellStyle name="60% - Акцент3 13" xfId="189"/>
    <cellStyle name="60% - Акцент3 14" xfId="190"/>
    <cellStyle name="60% - Акцент3 2" xfId="191"/>
    <cellStyle name="60% - Акцент3 3" xfId="192"/>
    <cellStyle name="60% - Акцент3 4" xfId="193"/>
    <cellStyle name="60% - Акцент3 5" xfId="194"/>
    <cellStyle name="60% - Акцент3 6" xfId="195"/>
    <cellStyle name="60% - Акцент3 7" xfId="196"/>
    <cellStyle name="60% - Акцент3 8" xfId="197"/>
    <cellStyle name="60% - Акцент3 9" xfId="198"/>
    <cellStyle name="60% - Акцент4 10" xfId="199"/>
    <cellStyle name="60% - Акцент4 11" xfId="200"/>
    <cellStyle name="60% - Акцент4 12" xfId="201"/>
    <cellStyle name="60% - Акцент4 13" xfId="202"/>
    <cellStyle name="60% - Акцент4 14" xfId="203"/>
    <cellStyle name="60% - Акцент4 2" xfId="204"/>
    <cellStyle name="60% - Акцент4 3" xfId="205"/>
    <cellStyle name="60% - Акцент4 4" xfId="206"/>
    <cellStyle name="60% - Акцент4 5" xfId="207"/>
    <cellStyle name="60% - Акцент4 6" xfId="208"/>
    <cellStyle name="60% - Акцент4 7" xfId="209"/>
    <cellStyle name="60% - Акцент4 8" xfId="210"/>
    <cellStyle name="60% - Акцент4 9" xfId="211"/>
    <cellStyle name="60% - Акцент5 10" xfId="212"/>
    <cellStyle name="60% - Акцент5 11" xfId="213"/>
    <cellStyle name="60% - Акцент5 12" xfId="214"/>
    <cellStyle name="60% - Акцент5 13" xfId="215"/>
    <cellStyle name="60% - Акцент5 14" xfId="216"/>
    <cellStyle name="60% - Акцент5 2" xfId="217"/>
    <cellStyle name="60% - Акцент5 3" xfId="218"/>
    <cellStyle name="60% - Акцент5 4" xfId="219"/>
    <cellStyle name="60% - Акцент5 5" xfId="220"/>
    <cellStyle name="60% - Акцент5 6" xfId="221"/>
    <cellStyle name="60% - Акцент5 7" xfId="222"/>
    <cellStyle name="60% - Акцент5 8" xfId="223"/>
    <cellStyle name="60% - Акцент5 9" xfId="224"/>
    <cellStyle name="60% - Акцент6 10" xfId="225"/>
    <cellStyle name="60% - Акцент6 11" xfId="226"/>
    <cellStyle name="60% - Акцент6 12" xfId="227"/>
    <cellStyle name="60% - Акцент6 13" xfId="228"/>
    <cellStyle name="60% - Акцент6 14" xfId="229"/>
    <cellStyle name="60% - Акцент6 2" xfId="230"/>
    <cellStyle name="60% - Акцент6 3" xfId="231"/>
    <cellStyle name="60% - Акцент6 4" xfId="232"/>
    <cellStyle name="60% - Акцент6 5" xfId="233"/>
    <cellStyle name="60% - Акцент6 6" xfId="234"/>
    <cellStyle name="60% - Акцент6 7" xfId="235"/>
    <cellStyle name="60% - Акцент6 8" xfId="236"/>
    <cellStyle name="60% - Акцент6 9" xfId="237"/>
    <cellStyle name="Assumption" xfId="238"/>
    <cellStyle name="Block Titles" xfId="239"/>
    <cellStyle name="Calculation" xfId="240"/>
    <cellStyle name="Column Heading" xfId="241"/>
    <cellStyle name="Company Name" xfId="242"/>
    <cellStyle name="Cost" xfId="243"/>
    <cellStyle name="Date" xfId="244"/>
    <cellStyle name="Debit" xfId="245"/>
    <cellStyle name="Debit subtotal" xfId="246"/>
    <cellStyle name="Debit Total" xfId="247"/>
    <cellStyle name="Estimate" xfId="248"/>
    <cellStyle name="Euro" xfId="249"/>
    <cellStyle name="Group Headings" xfId="250"/>
    <cellStyle name="Heading With Underline" xfId="251"/>
    <cellStyle name="Headings" xfId="252"/>
    <cellStyle name="Highlight" xfId="253"/>
    <cellStyle name="Indirect Reference" xfId="254"/>
    <cellStyle name="Input" xfId="255"/>
    <cellStyle name="Input (estimate)" xfId="256"/>
    <cellStyle name="Input from Analysys" xfId="257"/>
    <cellStyle name="Input from CETI" xfId="258"/>
    <cellStyle name="Input Link" xfId="259"/>
    <cellStyle name="Main Title" xfId="260"/>
    <cellStyle name="Milliers [0]_comparable" xfId="261"/>
    <cellStyle name="Milliers_comparable" xfId="262"/>
    <cellStyle name="Monétaire [0]_comparable" xfId="263"/>
    <cellStyle name="Monétaire_comparable" xfId="264"/>
    <cellStyle name="Name" xfId="265"/>
    <cellStyle name="Note" xfId="266"/>
    <cellStyle name="Number" xfId="267"/>
    <cellStyle name="Output" xfId="268"/>
    <cellStyle name="Percentage" xfId="269"/>
    <cellStyle name="Row Heading" xfId="270"/>
    <cellStyle name="Section Number" xfId="271"/>
    <cellStyle name="Section Title" xfId="272"/>
    <cellStyle name="Shading" xfId="273"/>
    <cellStyle name="Small Cost" xfId="274"/>
    <cellStyle name="Small Currency" xfId="275"/>
    <cellStyle name="Small Number" xfId="276"/>
    <cellStyle name="Small Percentage" xfId="277"/>
    <cellStyle name="Title Heading" xfId="278"/>
    <cellStyle name="Total" xfId="279"/>
    <cellStyle name="Version Number" xfId="280"/>
    <cellStyle name="WP Header" xfId="281"/>
    <cellStyle name="Years" xfId="282"/>
    <cellStyle name="Акцент1 10" xfId="283"/>
    <cellStyle name="Акцент1 11" xfId="284"/>
    <cellStyle name="Акцент1 12" xfId="285"/>
    <cellStyle name="Акцент1 13" xfId="286"/>
    <cellStyle name="Акцент1 14" xfId="287"/>
    <cellStyle name="Акцент1 2" xfId="288"/>
    <cellStyle name="Акцент1 3" xfId="289"/>
    <cellStyle name="Акцент1 4" xfId="290"/>
    <cellStyle name="Акцент1 5" xfId="291"/>
    <cellStyle name="Акцент1 6" xfId="292"/>
    <cellStyle name="Акцент1 7" xfId="293"/>
    <cellStyle name="Акцент1 8" xfId="294"/>
    <cellStyle name="Акцент1 9" xfId="295"/>
    <cellStyle name="Акцент2 10" xfId="296"/>
    <cellStyle name="Акцент2 11" xfId="297"/>
    <cellStyle name="Акцент2 12" xfId="298"/>
    <cellStyle name="Акцент2 13" xfId="299"/>
    <cellStyle name="Акцент2 14" xfId="300"/>
    <cellStyle name="Акцент2 2" xfId="301"/>
    <cellStyle name="Акцент2 3" xfId="302"/>
    <cellStyle name="Акцент2 4" xfId="303"/>
    <cellStyle name="Акцент2 5" xfId="304"/>
    <cellStyle name="Акцент2 6" xfId="305"/>
    <cellStyle name="Акцент2 7" xfId="306"/>
    <cellStyle name="Акцент2 8" xfId="307"/>
    <cellStyle name="Акцент2 9" xfId="308"/>
    <cellStyle name="Акцент3 10" xfId="309"/>
    <cellStyle name="Акцент3 11" xfId="310"/>
    <cellStyle name="Акцент3 12" xfId="311"/>
    <cellStyle name="Акцент3 13" xfId="312"/>
    <cellStyle name="Акцент3 14" xfId="313"/>
    <cellStyle name="Акцент3 2" xfId="314"/>
    <cellStyle name="Акцент3 3" xfId="315"/>
    <cellStyle name="Акцент3 4" xfId="316"/>
    <cellStyle name="Акцент3 5" xfId="317"/>
    <cellStyle name="Акцент3 6" xfId="318"/>
    <cellStyle name="Акцент3 7" xfId="319"/>
    <cellStyle name="Акцент3 8" xfId="320"/>
    <cellStyle name="Акцент3 9" xfId="321"/>
    <cellStyle name="Акцент4 10" xfId="322"/>
    <cellStyle name="Акцент4 11" xfId="323"/>
    <cellStyle name="Акцент4 12" xfId="324"/>
    <cellStyle name="Акцент4 13" xfId="325"/>
    <cellStyle name="Акцент4 14" xfId="326"/>
    <cellStyle name="Акцент4 2" xfId="327"/>
    <cellStyle name="Акцент4 3" xfId="328"/>
    <cellStyle name="Акцент4 4" xfId="329"/>
    <cellStyle name="Акцент4 5" xfId="330"/>
    <cellStyle name="Акцент4 6" xfId="331"/>
    <cellStyle name="Акцент4 7" xfId="332"/>
    <cellStyle name="Акцент4 8" xfId="333"/>
    <cellStyle name="Акцент4 9" xfId="334"/>
    <cellStyle name="Акцент5 10" xfId="335"/>
    <cellStyle name="Акцент5 11" xfId="336"/>
    <cellStyle name="Акцент5 12" xfId="337"/>
    <cellStyle name="Акцент5 13" xfId="338"/>
    <cellStyle name="Акцент5 14" xfId="339"/>
    <cellStyle name="Акцент5 2" xfId="340"/>
    <cellStyle name="Акцент5 3" xfId="341"/>
    <cellStyle name="Акцент5 4" xfId="342"/>
    <cellStyle name="Акцент5 5" xfId="343"/>
    <cellStyle name="Акцент5 6" xfId="344"/>
    <cellStyle name="Акцент5 7" xfId="345"/>
    <cellStyle name="Акцент5 8" xfId="346"/>
    <cellStyle name="Акцент5 9" xfId="347"/>
    <cellStyle name="Акцент6 10" xfId="348"/>
    <cellStyle name="Акцент6 11" xfId="349"/>
    <cellStyle name="Акцент6 12" xfId="350"/>
    <cellStyle name="Акцент6 13" xfId="351"/>
    <cellStyle name="Акцент6 14" xfId="352"/>
    <cellStyle name="Акцент6 2" xfId="353"/>
    <cellStyle name="Акцент6 3" xfId="354"/>
    <cellStyle name="Акцент6 4" xfId="355"/>
    <cellStyle name="Акцент6 5" xfId="356"/>
    <cellStyle name="Акцент6 6" xfId="357"/>
    <cellStyle name="Акцент6 7" xfId="358"/>
    <cellStyle name="Акцент6 8" xfId="359"/>
    <cellStyle name="Акцент6 9" xfId="360"/>
    <cellStyle name="Ввод  10" xfId="361"/>
    <cellStyle name="Ввод  11" xfId="362"/>
    <cellStyle name="Ввод  12" xfId="363"/>
    <cellStyle name="Ввод  13" xfId="364"/>
    <cellStyle name="Ввод  14" xfId="365"/>
    <cellStyle name="Ввод  2" xfId="366"/>
    <cellStyle name="Ввод  3" xfId="367"/>
    <cellStyle name="Ввод  4" xfId="368"/>
    <cellStyle name="Ввод  5" xfId="369"/>
    <cellStyle name="Ввод  6" xfId="370"/>
    <cellStyle name="Ввод  7" xfId="371"/>
    <cellStyle name="Ввод  8" xfId="372"/>
    <cellStyle name="Ввод  9" xfId="373"/>
    <cellStyle name="Вывод 10" xfId="374"/>
    <cellStyle name="Вывод 11" xfId="375"/>
    <cellStyle name="Вывод 12" xfId="376"/>
    <cellStyle name="Вывод 13" xfId="377"/>
    <cellStyle name="Вывод 14" xfId="378"/>
    <cellStyle name="Вывод 2" xfId="379"/>
    <cellStyle name="Вывод 3" xfId="380"/>
    <cellStyle name="Вывод 4" xfId="381"/>
    <cellStyle name="Вывод 5" xfId="382"/>
    <cellStyle name="Вывод 6" xfId="383"/>
    <cellStyle name="Вывод 7" xfId="384"/>
    <cellStyle name="Вывод 8" xfId="385"/>
    <cellStyle name="Вывод 9" xfId="386"/>
    <cellStyle name="Вычисление 10" xfId="387"/>
    <cellStyle name="Вычисление 11" xfId="388"/>
    <cellStyle name="Вычисление 12" xfId="389"/>
    <cellStyle name="Вычисление 13" xfId="390"/>
    <cellStyle name="Вычисление 14" xfId="391"/>
    <cellStyle name="Вычисление 2" xfId="392"/>
    <cellStyle name="Вычисление 3" xfId="393"/>
    <cellStyle name="Вычисление 4" xfId="394"/>
    <cellStyle name="Вычисление 5" xfId="395"/>
    <cellStyle name="Вычисление 6" xfId="396"/>
    <cellStyle name="Вычисление 7" xfId="397"/>
    <cellStyle name="Вычисление 8" xfId="398"/>
    <cellStyle name="Вычисление 9" xfId="399"/>
    <cellStyle name="Гиперссылка 2" xfId="400"/>
    <cellStyle name="Заголовок 1 10" xfId="401"/>
    <cellStyle name="Заголовок 1 11" xfId="402"/>
    <cellStyle name="Заголовок 1 12" xfId="403"/>
    <cellStyle name="Заголовок 1 13" xfId="404"/>
    <cellStyle name="Заголовок 1 14" xfId="405"/>
    <cellStyle name="Заголовок 1 2" xfId="406"/>
    <cellStyle name="Заголовок 1 3" xfId="407"/>
    <cellStyle name="Заголовок 1 4" xfId="408"/>
    <cellStyle name="Заголовок 1 5" xfId="409"/>
    <cellStyle name="Заголовок 1 6" xfId="410"/>
    <cellStyle name="Заголовок 1 7" xfId="411"/>
    <cellStyle name="Заголовок 1 8" xfId="412"/>
    <cellStyle name="Заголовок 1 9" xfId="413"/>
    <cellStyle name="Заголовок 2 10" xfId="414"/>
    <cellStyle name="Заголовок 2 11" xfId="415"/>
    <cellStyle name="Заголовок 2 12" xfId="416"/>
    <cellStyle name="Заголовок 2 13" xfId="417"/>
    <cellStyle name="Заголовок 2 14" xfId="418"/>
    <cellStyle name="Заголовок 2 2" xfId="419"/>
    <cellStyle name="Заголовок 2 3" xfId="420"/>
    <cellStyle name="Заголовок 2 4" xfId="421"/>
    <cellStyle name="Заголовок 2 5" xfId="422"/>
    <cellStyle name="Заголовок 2 6" xfId="423"/>
    <cellStyle name="Заголовок 2 7" xfId="424"/>
    <cellStyle name="Заголовок 2 8" xfId="425"/>
    <cellStyle name="Заголовок 2 9" xfId="426"/>
    <cellStyle name="Заголовок 3 10" xfId="427"/>
    <cellStyle name="Заголовок 3 11" xfId="428"/>
    <cellStyle name="Заголовок 3 12" xfId="429"/>
    <cellStyle name="Заголовок 3 13" xfId="430"/>
    <cellStyle name="Заголовок 3 14" xfId="431"/>
    <cellStyle name="Заголовок 3 2" xfId="432"/>
    <cellStyle name="Заголовок 3 3" xfId="433"/>
    <cellStyle name="Заголовок 3 4" xfId="434"/>
    <cellStyle name="Заголовок 3 5" xfId="435"/>
    <cellStyle name="Заголовок 3 6" xfId="436"/>
    <cellStyle name="Заголовок 3 7" xfId="437"/>
    <cellStyle name="Заголовок 3 8" xfId="438"/>
    <cellStyle name="Заголовок 3 9" xfId="439"/>
    <cellStyle name="Заголовок 4 10" xfId="440"/>
    <cellStyle name="Заголовок 4 11" xfId="441"/>
    <cellStyle name="Заголовок 4 12" xfId="442"/>
    <cellStyle name="Заголовок 4 13" xfId="443"/>
    <cellStyle name="Заголовок 4 14" xfId="444"/>
    <cellStyle name="Заголовок 4 2" xfId="445"/>
    <cellStyle name="Заголовок 4 3" xfId="446"/>
    <cellStyle name="Заголовок 4 4" xfId="447"/>
    <cellStyle name="Заголовок 4 5" xfId="448"/>
    <cellStyle name="Заголовок 4 6" xfId="449"/>
    <cellStyle name="Заголовок 4 7" xfId="450"/>
    <cellStyle name="Заголовок 4 8" xfId="451"/>
    <cellStyle name="Заголовок 4 9" xfId="452"/>
    <cellStyle name="Звичайний_Global Concolidation File Favorit 2005_2006" xfId="453"/>
    <cellStyle name="Итог 10" xfId="454"/>
    <cellStyle name="Итог 11" xfId="455"/>
    <cellStyle name="Итог 12" xfId="456"/>
    <cellStyle name="Итог 13" xfId="457"/>
    <cellStyle name="Итог 14" xfId="458"/>
    <cellStyle name="Итог 2" xfId="459"/>
    <cellStyle name="Итог 3" xfId="460"/>
    <cellStyle name="Итог 4" xfId="461"/>
    <cellStyle name="Итог 5" xfId="462"/>
    <cellStyle name="Итог 6" xfId="463"/>
    <cellStyle name="Итог 7" xfId="464"/>
    <cellStyle name="Итог 8" xfId="465"/>
    <cellStyle name="Итог 9" xfId="466"/>
    <cellStyle name="Контрольная ячейка 10" xfId="467"/>
    <cellStyle name="Контрольная ячейка 11" xfId="468"/>
    <cellStyle name="Контрольная ячейка 12" xfId="469"/>
    <cellStyle name="Контрольная ячейка 13" xfId="470"/>
    <cellStyle name="Контрольная ячейка 14" xfId="471"/>
    <cellStyle name="Контрольная ячейка 2" xfId="472"/>
    <cellStyle name="Контрольная ячейка 3" xfId="473"/>
    <cellStyle name="Контрольная ячейка 4" xfId="474"/>
    <cellStyle name="Контрольная ячейка 5" xfId="475"/>
    <cellStyle name="Контрольная ячейка 6" xfId="476"/>
    <cellStyle name="Контрольная ячейка 7" xfId="477"/>
    <cellStyle name="Контрольная ячейка 8" xfId="478"/>
    <cellStyle name="Контрольная ячейка 9" xfId="479"/>
    <cellStyle name="Название 10" xfId="480"/>
    <cellStyle name="Название 11" xfId="481"/>
    <cellStyle name="Название 12" xfId="482"/>
    <cellStyle name="Название 13" xfId="483"/>
    <cellStyle name="Название 14" xfId="484"/>
    <cellStyle name="Название 2" xfId="485"/>
    <cellStyle name="Название 3" xfId="486"/>
    <cellStyle name="Название 4" xfId="487"/>
    <cellStyle name="Название 5" xfId="488"/>
    <cellStyle name="Название 6" xfId="489"/>
    <cellStyle name="Название 7" xfId="490"/>
    <cellStyle name="Название 8" xfId="491"/>
    <cellStyle name="Название 9" xfId="492"/>
    <cellStyle name="Нейтральный 10" xfId="493"/>
    <cellStyle name="Нейтральный 11" xfId="494"/>
    <cellStyle name="Нейтральный 12" xfId="495"/>
    <cellStyle name="Нейтральный 13" xfId="496"/>
    <cellStyle name="Нейтральный 14" xfId="497"/>
    <cellStyle name="Нейтральный 2" xfId="498"/>
    <cellStyle name="Нейтральный 3" xfId="499"/>
    <cellStyle name="Нейтральный 4" xfId="500"/>
    <cellStyle name="Нейтральный 5" xfId="501"/>
    <cellStyle name="Нейтральный 6" xfId="502"/>
    <cellStyle name="Нейтральный 7" xfId="503"/>
    <cellStyle name="Нейтральный 8" xfId="504"/>
    <cellStyle name="Нейтральный 9" xfId="505"/>
    <cellStyle name="Обычный" xfId="0" builtinId="0"/>
    <cellStyle name="Обычный 10" xfId="506"/>
    <cellStyle name="Обычный 11" xfId="507"/>
    <cellStyle name="Обычный 12" xfId="508"/>
    <cellStyle name="Обычный 12 2" xfId="509"/>
    <cellStyle name="Обычный 13" xfId="510"/>
    <cellStyle name="Обычный 14" xfId="511"/>
    <cellStyle name="Обычный 15" xfId="512"/>
    <cellStyle name="Обычный 16" xfId="513"/>
    <cellStyle name="Обычный 17" xfId="514"/>
    <cellStyle name="Обычный 18" xfId="515"/>
    <cellStyle name="Обычный 19" xfId="516"/>
    <cellStyle name="Обычный 2" xfId="517"/>
    <cellStyle name="Обычный 2 10" xfId="518"/>
    <cellStyle name="Обычный 2 10 2" xfId="519"/>
    <cellStyle name="Обычный 2 11" xfId="520"/>
    <cellStyle name="Обычный 2 12" xfId="521"/>
    <cellStyle name="Обычный 2 13" xfId="522"/>
    <cellStyle name="Обычный 2 14" xfId="523"/>
    <cellStyle name="Обычный 2 15" xfId="524"/>
    <cellStyle name="Обычный 2 16" xfId="525"/>
    <cellStyle name="Обычный 2 17" xfId="526"/>
    <cellStyle name="Обычный 2 18" xfId="527"/>
    <cellStyle name="Обычный 2 2" xfId="528"/>
    <cellStyle name="Обычный 2 2 2" xfId="529"/>
    <cellStyle name="Обычный 2 3" xfId="530"/>
    <cellStyle name="Обычный 2 4" xfId="531"/>
    <cellStyle name="Обычный 2 5" xfId="532"/>
    <cellStyle name="Обычный 2 6" xfId="533"/>
    <cellStyle name="Обычный 2 7" xfId="534"/>
    <cellStyle name="Обычный 2 8" xfId="535"/>
    <cellStyle name="Обычный 2 9" xfId="536"/>
    <cellStyle name="Обычный 2_GLOBAL Calendar file AVANGARD 2007" xfId="537"/>
    <cellStyle name="Обычный 20" xfId="538"/>
    <cellStyle name="Обычный 20 2" xfId="539"/>
    <cellStyle name="Обычный 21" xfId="540"/>
    <cellStyle name="Обычный 22" xfId="541"/>
    <cellStyle name="Обычный 23" xfId="542"/>
    <cellStyle name="Обычный 24" xfId="543"/>
    <cellStyle name="Обычный 25" xfId="544"/>
    <cellStyle name="Обычный 3" xfId="545"/>
    <cellStyle name="Обычный 3 10" xfId="546"/>
    <cellStyle name="Обычный 3 11" xfId="547"/>
    <cellStyle name="Обычный 3 12" xfId="548"/>
    <cellStyle name="Обычный 3 13" xfId="549"/>
    <cellStyle name="Обычный 3 14" xfId="550"/>
    <cellStyle name="Обычный 3 15" xfId="551"/>
    <cellStyle name="Обычный 3 2" xfId="552"/>
    <cellStyle name="Обычный 3 3" xfId="553"/>
    <cellStyle name="Обычный 3 4" xfId="554"/>
    <cellStyle name="Обычный 3 5" xfId="555"/>
    <cellStyle name="Обычный 3 6" xfId="556"/>
    <cellStyle name="Обычный 3 7" xfId="557"/>
    <cellStyle name="Обычный 3 8" xfId="558"/>
    <cellStyle name="Обычный 3 9" xfId="559"/>
    <cellStyle name="Обычный 3_Work_Avangard 2006_2007" xfId="560"/>
    <cellStyle name="Обычный 4" xfId="561"/>
    <cellStyle name="Обычный 4 10" xfId="562"/>
    <cellStyle name="Обычный 4 11" xfId="563"/>
    <cellStyle name="Обычный 4 12" xfId="564"/>
    <cellStyle name="Обычный 4 13" xfId="565"/>
    <cellStyle name="Обычный 4 14" xfId="566"/>
    <cellStyle name="Обычный 4 15" xfId="567"/>
    <cellStyle name="Обычный 4 16" xfId="568"/>
    <cellStyle name="Обычный 4 2" xfId="569"/>
    <cellStyle name="Обычный 4 3" xfId="570"/>
    <cellStyle name="Обычный 4 4" xfId="571"/>
    <cellStyle name="Обычный 4 5" xfId="572"/>
    <cellStyle name="Обычный 4 6" xfId="573"/>
    <cellStyle name="Обычный 4 7" xfId="574"/>
    <cellStyle name="Обычный 4 8" xfId="575"/>
    <cellStyle name="Обычный 4 9" xfId="576"/>
    <cellStyle name="Обычный 4_Work_Avangard 2006_2007" xfId="577"/>
    <cellStyle name="Обычный 5" xfId="578"/>
    <cellStyle name="Обычный 5 10" xfId="579"/>
    <cellStyle name="Обычный 5 11" xfId="580"/>
    <cellStyle name="Обычный 5 12" xfId="581"/>
    <cellStyle name="Обычный 5 13" xfId="582"/>
    <cellStyle name="Обычный 5 14" xfId="583"/>
    <cellStyle name="Обычный 5 15" xfId="584"/>
    <cellStyle name="Обычный 5 16" xfId="585"/>
    <cellStyle name="Обычный 5 17" xfId="586"/>
    <cellStyle name="Обычный 5 18" xfId="587"/>
    <cellStyle name="Обычный 5 19" xfId="588"/>
    <cellStyle name="Обычный 5 2" xfId="589"/>
    <cellStyle name="Обычный 5 20" xfId="590"/>
    <cellStyle name="Обычный 5 21" xfId="591"/>
    <cellStyle name="Обычный 5 22" xfId="592"/>
    <cellStyle name="Обычный 5 23" xfId="593"/>
    <cellStyle name="Обычный 5 24" xfId="594"/>
    <cellStyle name="Обычный 5 25" xfId="595"/>
    <cellStyle name="Обычный 5 3" xfId="596"/>
    <cellStyle name="Обычный 5 4" xfId="597"/>
    <cellStyle name="Обычный 5 5" xfId="598"/>
    <cellStyle name="Обычный 5 6" xfId="599"/>
    <cellStyle name="Обычный 5 7" xfId="600"/>
    <cellStyle name="Обычный 5 8" xfId="601"/>
    <cellStyle name="Обычный 5 9" xfId="602"/>
    <cellStyle name="Обычный 5_Global Concolidation File DS Company 2005_2006_28.01.2008" xfId="603"/>
    <cellStyle name="Обычный 6" xfId="604"/>
    <cellStyle name="Обычный 7" xfId="605"/>
    <cellStyle name="Обычный 8" xfId="606"/>
    <cellStyle name="Обычный 8 2" xfId="607"/>
    <cellStyle name="Обычный 9" xfId="608"/>
    <cellStyle name="Плохой 10" xfId="609"/>
    <cellStyle name="Плохой 11" xfId="610"/>
    <cellStyle name="Плохой 12" xfId="611"/>
    <cellStyle name="Плохой 13" xfId="612"/>
    <cellStyle name="Плохой 14" xfId="613"/>
    <cellStyle name="Плохой 2" xfId="614"/>
    <cellStyle name="Плохой 3" xfId="615"/>
    <cellStyle name="Плохой 4" xfId="616"/>
    <cellStyle name="Плохой 5" xfId="617"/>
    <cellStyle name="Плохой 6" xfId="618"/>
    <cellStyle name="Плохой 7" xfId="619"/>
    <cellStyle name="Плохой 8" xfId="620"/>
    <cellStyle name="Плохой 9" xfId="621"/>
    <cellStyle name="Пояснение 10" xfId="622"/>
    <cellStyle name="Пояснение 11" xfId="623"/>
    <cellStyle name="Пояснение 12" xfId="624"/>
    <cellStyle name="Пояснение 13" xfId="625"/>
    <cellStyle name="Пояснение 14" xfId="626"/>
    <cellStyle name="Пояснение 2" xfId="627"/>
    <cellStyle name="Пояснение 3" xfId="628"/>
    <cellStyle name="Пояснение 4" xfId="629"/>
    <cellStyle name="Пояснение 5" xfId="630"/>
    <cellStyle name="Пояснение 6" xfId="631"/>
    <cellStyle name="Пояснение 7" xfId="632"/>
    <cellStyle name="Пояснение 8" xfId="633"/>
    <cellStyle name="Пояснение 9" xfId="634"/>
    <cellStyle name="Примечание 10" xfId="635"/>
    <cellStyle name="Примечание 11" xfId="636"/>
    <cellStyle name="Примечание 12" xfId="637"/>
    <cellStyle name="Примечание 13" xfId="638"/>
    <cellStyle name="Примечание 14" xfId="639"/>
    <cellStyle name="Примечание 2" xfId="640"/>
    <cellStyle name="Примечание 3" xfId="641"/>
    <cellStyle name="Примечание 4" xfId="642"/>
    <cellStyle name="Примечание 5" xfId="643"/>
    <cellStyle name="Примечание 6" xfId="644"/>
    <cellStyle name="Примечание 7" xfId="645"/>
    <cellStyle name="Примечание 8" xfId="646"/>
    <cellStyle name="Примечание 9" xfId="647"/>
    <cellStyle name="Процентный" xfId="648" builtinId="5"/>
    <cellStyle name="Процентный 2" xfId="649"/>
    <cellStyle name="Процентный 2 2" xfId="650"/>
    <cellStyle name="Процентный 3" xfId="651"/>
    <cellStyle name="Процентный 3 2" xfId="652"/>
    <cellStyle name="Процентный 4" xfId="653"/>
    <cellStyle name="Связанная ячейка 10" xfId="654"/>
    <cellStyle name="Связанная ячейка 11" xfId="655"/>
    <cellStyle name="Связанная ячейка 12" xfId="656"/>
    <cellStyle name="Связанная ячейка 13" xfId="657"/>
    <cellStyle name="Связанная ячейка 14" xfId="658"/>
    <cellStyle name="Связанная ячейка 2" xfId="659"/>
    <cellStyle name="Связанная ячейка 3" xfId="660"/>
    <cellStyle name="Связанная ячейка 4" xfId="661"/>
    <cellStyle name="Связанная ячейка 5" xfId="662"/>
    <cellStyle name="Связанная ячейка 6" xfId="663"/>
    <cellStyle name="Связанная ячейка 7" xfId="664"/>
    <cellStyle name="Связанная ячейка 8" xfId="665"/>
    <cellStyle name="Связанная ячейка 9" xfId="666"/>
    <cellStyle name="Стиль 1" xfId="667"/>
    <cellStyle name="Стиль 1 2" xfId="668"/>
    <cellStyle name="Стиль 1 3" xfId="669"/>
    <cellStyle name="Стиль 1_Копия Global_Avangard_2006_IFRS " xfId="670"/>
    <cellStyle name="Стиль 2" xfId="671"/>
    <cellStyle name="Текст предупреждения 10" xfId="672"/>
    <cellStyle name="Текст предупреждения 11" xfId="673"/>
    <cellStyle name="Текст предупреждения 12" xfId="674"/>
    <cellStyle name="Текст предупреждения 13" xfId="675"/>
    <cellStyle name="Текст предупреждения 14" xfId="676"/>
    <cellStyle name="Текст предупреждения 2" xfId="677"/>
    <cellStyle name="Текст предупреждения 3" xfId="678"/>
    <cellStyle name="Текст предупреждения 4" xfId="679"/>
    <cellStyle name="Текст предупреждения 5" xfId="680"/>
    <cellStyle name="Текст предупреждения 6" xfId="681"/>
    <cellStyle name="Текст предупреждения 7" xfId="682"/>
    <cellStyle name="Текст предупреждения 8" xfId="683"/>
    <cellStyle name="Текст предупреждения 9" xfId="684"/>
    <cellStyle name="Финансовый" xfId="685" builtinId="3"/>
    <cellStyle name="Финансовый 2" xfId="686"/>
    <cellStyle name="Финансовый 2 2" xfId="687"/>
    <cellStyle name="Финансовый 2 3" xfId="688"/>
    <cellStyle name="Финансовый 3" xfId="689"/>
    <cellStyle name="Финансовый 3 2" xfId="690"/>
    <cellStyle name="Финансовый 4" xfId="691"/>
    <cellStyle name="Финансовый 5" xfId="692"/>
    <cellStyle name="Финансовый 6" xfId="693"/>
    <cellStyle name="Финансовый 6 2" xfId="694"/>
    <cellStyle name="Финансовый 7" xfId="695"/>
    <cellStyle name="Финансовый 8" xfId="696"/>
    <cellStyle name="Финансовый 9" xfId="697"/>
    <cellStyle name="Хороший 10" xfId="698"/>
    <cellStyle name="Хороший 11" xfId="699"/>
    <cellStyle name="Хороший 12" xfId="700"/>
    <cellStyle name="Хороший 13" xfId="701"/>
    <cellStyle name="Хороший 14" xfId="702"/>
    <cellStyle name="Хороший 2" xfId="703"/>
    <cellStyle name="Хороший 3" xfId="704"/>
    <cellStyle name="Хороший 4" xfId="705"/>
    <cellStyle name="Хороший 5" xfId="706"/>
    <cellStyle name="Хороший 6" xfId="707"/>
    <cellStyle name="Хороший 7" xfId="708"/>
    <cellStyle name="Хороший 8" xfId="709"/>
    <cellStyle name="Хороший 9" xfId="7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177800</xdr:colOff>
      <xdr:row>1</xdr:row>
      <xdr:rowOff>0</xdr:rowOff>
    </xdr:to>
    <xdr:sp macro="" textlink="">
      <xdr:nvSpPr>
        <xdr:cNvPr id="2" name="_____ 1">
          <a:extLst>
            <a:ext uri="{FF2B5EF4-FFF2-40B4-BE49-F238E27FC236}">
              <a16:creationId xmlns:a16="http://schemas.microsoft.com/office/drawing/2014/main" xmlns="" id="{B5BF802A-55AB-A94B-9DF4-E62BF0B57C70}"/>
            </a:ext>
          </a:extLst>
        </xdr:cNvPr>
        <xdr:cNvSpPr txBox="1">
          <a:spLocks noChangeArrowheads="1"/>
        </xdr:cNvSpPr>
      </xdr:nvSpPr>
      <xdr:spPr bwMode="auto">
        <a:xfrm>
          <a:off x="0" y="0"/>
          <a:ext cx="520700" cy="139700"/>
        </a:xfrm>
        <a:prstGeom prst="rect">
          <a:avLst/>
        </a:prstGeom>
        <a:solidFill>
          <a:srgbClr val="808080"/>
        </a:solidFill>
        <a:ln w="9525" cap="flat">
          <a:solidFill>
            <a:srgbClr val="000000"/>
          </a:solidFill>
          <a:prstDash val="solid"/>
          <a:miter lim="800000"/>
          <a:headEnd/>
          <a:tailEnd/>
        </a:ln>
      </xdr:spPr>
      <xdr:txBody>
        <a:bodyPr vertOverflow="clip" wrap="square" lIns="18288" tIns="18288" rIns="18288" bIns="18288" anchor="ctr" upright="1"/>
        <a:lstStyle/>
        <a:p>
          <a:pPr algn="ctr" rtl="0">
            <a:defRPr sz="1000"/>
          </a:pPr>
          <a:r>
            <a:rPr lang="en-US" sz="800" b="1" i="0" u="none" strike="noStrike" baseline="0">
              <a:solidFill>
                <a:srgbClr val="000000"/>
              </a:solidFill>
              <a:latin typeface="Arial" pitchFamily="2" charset="0"/>
              <a:cs typeface="Arial" pitchFamily="2" charset="0"/>
            </a:rPr>
            <a:t>_______</a:t>
          </a:r>
        </a:p>
      </xdr:txBody>
    </xdr:sp>
    <xdr:clientData/>
  </xdr:twoCellAnchor>
  <xdr:twoCellAnchor>
    <xdr:from>
      <xdr:col>1</xdr:col>
      <xdr:colOff>177800</xdr:colOff>
      <xdr:row>0</xdr:row>
      <xdr:rowOff>0</xdr:rowOff>
    </xdr:from>
    <xdr:to>
      <xdr:col>1</xdr:col>
      <xdr:colOff>774700</xdr:colOff>
      <xdr:row>1</xdr:row>
      <xdr:rowOff>0</xdr:rowOff>
    </xdr:to>
    <xdr:sp macro="" textlink="">
      <xdr:nvSpPr>
        <xdr:cNvPr id="3" name="_____ 2">
          <a:extLst>
            <a:ext uri="{FF2B5EF4-FFF2-40B4-BE49-F238E27FC236}">
              <a16:creationId xmlns:a16="http://schemas.microsoft.com/office/drawing/2014/main" xmlns="" id="{8ED2CF7C-0B2A-664B-881C-837F9274D11D}"/>
            </a:ext>
          </a:extLst>
        </xdr:cNvPr>
        <xdr:cNvSpPr txBox="1">
          <a:spLocks noChangeArrowheads="1"/>
        </xdr:cNvSpPr>
      </xdr:nvSpPr>
      <xdr:spPr bwMode="auto">
        <a:xfrm>
          <a:off x="520700" y="0"/>
          <a:ext cx="596900" cy="139700"/>
        </a:xfrm>
        <a:prstGeom prst="rect">
          <a:avLst/>
        </a:prstGeom>
        <a:solidFill>
          <a:srgbClr val="808080"/>
        </a:solidFill>
        <a:ln w="9525" cap="flat">
          <a:solidFill>
            <a:srgbClr val="000000"/>
          </a:solidFill>
          <a:prstDash val="solid"/>
          <a:miter lim="800000"/>
          <a:headEnd/>
          <a:tailEnd/>
        </a:ln>
      </xdr:spPr>
      <xdr:txBody>
        <a:bodyPr vertOverflow="clip" wrap="square" lIns="18288" tIns="18288" rIns="18288" bIns="18288" anchor="ctr" upright="1"/>
        <a:lstStyle/>
        <a:p>
          <a:pPr algn="ctr" rtl="0">
            <a:defRPr sz="1000"/>
          </a:pPr>
          <a:r>
            <a:rPr lang="en-US" sz="800" b="1" i="0" u="none" strike="noStrike" baseline="0">
              <a:solidFill>
                <a:srgbClr val="000000"/>
              </a:solidFill>
              <a:latin typeface="Arial" pitchFamily="2" charset="0"/>
              <a:cs typeface="Arial" pitchFamily="2" charset="0"/>
            </a:rPr>
            <a:t>_________</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slanakuzina/Documents/2019/&#1090;&#1088;&#1072;&#1085;&#1089;&#1092;&#1086;&#1088;&#1084;&#1072;&#1094;&#1080;&#1103;/Eco/&#1069;&#1082;&#1086;&#1083;&#1080;&#1079;&#1080;&#1085;&#1075;%20draft%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S USD (ua)"/>
      <sheetName val="CF_11 (USD)"/>
      <sheetName val="Lead 11 USD"/>
      <sheetName val="DB_31.12.11"/>
      <sheetName val="ACC"/>
      <sheetName val="Scheme"/>
      <sheetName val="Data"/>
      <sheetName val="ExRates"/>
      <sheetName val="ОСВ"/>
      <sheetName val="ОСВ 2018"/>
      <sheetName val="ОСВ 2019"/>
      <sheetName val="перерасчет вал. кр"/>
      <sheetName val="опер аренда"/>
      <sheetName val="сводная ОА"/>
      <sheetName val="осв в работу"/>
      <sheetName val="прим ос"/>
      <sheetName val="корректир. проводки"/>
      <sheetName val="оно"/>
      <sheetName val="финпомощь"/>
      <sheetName val="осв с вопр"/>
    </sheetNames>
    <sheetDataSet>
      <sheetData sheetId="0"/>
      <sheetData sheetId="1"/>
      <sheetData sheetId="2"/>
      <sheetData sheetId="3"/>
      <sheetData sheetId="4">
        <row r="9">
          <cell r="F9" t="str">
            <v>A.104</v>
          </cell>
        </row>
      </sheetData>
      <sheetData sheetId="5">
        <row r="3">
          <cell r="B3" t="str">
            <v>Основные средства</v>
          </cell>
          <cell r="C3" t="str">
            <v>A01</v>
          </cell>
          <cell r="D3" t="str">
            <v>Земельные участки</v>
          </cell>
          <cell r="E3" t="str">
            <v>01</v>
          </cell>
          <cell r="F3" t="str">
            <v>A01.01</v>
          </cell>
        </row>
        <row r="4">
          <cell r="B4" t="str">
            <v>Основные средства</v>
          </cell>
          <cell r="C4" t="str">
            <v>A01</v>
          </cell>
          <cell r="D4" t="str">
            <v>Здания и сооружения</v>
          </cell>
          <cell r="E4" t="str">
            <v>02</v>
          </cell>
          <cell r="F4" t="str">
            <v>A01.02</v>
          </cell>
        </row>
        <row r="5">
          <cell r="B5" t="str">
            <v>Основные средства</v>
          </cell>
          <cell r="C5" t="str">
            <v>A01</v>
          </cell>
          <cell r="D5" t="str">
            <v>Машины и оборудование</v>
          </cell>
          <cell r="E5" t="str">
            <v>03</v>
          </cell>
          <cell r="F5" t="str">
            <v>A01.03</v>
          </cell>
        </row>
        <row r="6">
          <cell r="B6" t="str">
            <v>Основные средства</v>
          </cell>
          <cell r="C6" t="str">
            <v>A01</v>
          </cell>
          <cell r="D6" t="str">
            <v>Транспортные средства</v>
          </cell>
          <cell r="E6" t="str">
            <v>04</v>
          </cell>
          <cell r="F6" t="str">
            <v>A01.04</v>
          </cell>
        </row>
        <row r="7">
          <cell r="B7" t="str">
            <v>Основные средства</v>
          </cell>
          <cell r="C7" t="str">
            <v>A01</v>
          </cell>
          <cell r="D7" t="str">
            <v>Инструменты, устройства и инвентарь</v>
          </cell>
          <cell r="E7" t="str">
            <v>05</v>
          </cell>
          <cell r="F7" t="str">
            <v>A01.05</v>
          </cell>
        </row>
        <row r="8">
          <cell r="B8" t="str">
            <v>Основные средства</v>
          </cell>
          <cell r="C8" t="str">
            <v>A01</v>
          </cell>
          <cell r="D8" t="str">
            <v>Прочие основные средства</v>
          </cell>
          <cell r="E8" t="str">
            <v>06</v>
          </cell>
          <cell r="F8" t="str">
            <v>A01.06</v>
          </cell>
        </row>
        <row r="9">
          <cell r="B9" t="str">
            <v>Основные средства</v>
          </cell>
          <cell r="C9" t="str">
            <v>A01</v>
          </cell>
          <cell r="D9" t="str">
            <v>Незавершенное строительство</v>
          </cell>
          <cell r="E9" t="str">
            <v>07</v>
          </cell>
          <cell r="F9" t="str">
            <v>A01.07</v>
          </cell>
        </row>
        <row r="10">
          <cell r="B10" t="str">
            <v>Основные средства</v>
          </cell>
          <cell r="C10" t="str">
            <v>A01</v>
          </cell>
          <cell r="D10" t="str">
            <v>Основные средства (NEED RJU)</v>
          </cell>
          <cell r="E10" t="str">
            <v>08</v>
          </cell>
          <cell r="F10" t="str">
            <v>A01.08</v>
          </cell>
        </row>
        <row r="11">
          <cell r="B11" t="str">
            <v>Основные средства (Техника)</v>
          </cell>
          <cell r="C11" t="str">
            <v>A0X</v>
          </cell>
          <cell r="D11" t="str">
            <v>Основные средства (Техника)</v>
          </cell>
          <cell r="E11" t="str">
            <v>01</v>
          </cell>
          <cell r="F11" t="str">
            <v>A0X.01</v>
          </cell>
        </row>
        <row r="12">
          <cell r="B12" t="str">
            <v>Инвестиционная собственность</v>
          </cell>
          <cell r="C12" t="str">
            <v>A02</v>
          </cell>
          <cell r="F12" t="str">
            <v>A02.</v>
          </cell>
        </row>
        <row r="13">
          <cell r="B13" t="str">
            <v>Предоплаты за необоротные активы</v>
          </cell>
          <cell r="C13" t="str">
            <v>A03</v>
          </cell>
          <cell r="D13" t="str">
            <v>Предоплаты за ОС</v>
          </cell>
          <cell r="E13" t="str">
            <v>01</v>
          </cell>
          <cell r="F13" t="str">
            <v>A03.01</v>
          </cell>
        </row>
        <row r="14">
          <cell r="B14" t="str">
            <v>Предоплаты за необоротные активы</v>
          </cell>
          <cell r="C14" t="str">
            <v>A03</v>
          </cell>
          <cell r="D14" t="str">
            <v>Предоплаты за НА</v>
          </cell>
          <cell r="E14" t="str">
            <v>02</v>
          </cell>
          <cell r="F14" t="str">
            <v>A03.02</v>
          </cell>
        </row>
        <row r="15">
          <cell r="B15" t="str">
            <v>Нематериальные активы</v>
          </cell>
          <cell r="C15" t="str">
            <v>A04</v>
          </cell>
          <cell r="D15" t="str">
            <v>Нематериальные активы (brought forward)</v>
          </cell>
          <cell r="E15" t="str">
            <v>01</v>
          </cell>
          <cell r="F15" t="str">
            <v>A04.01</v>
          </cell>
        </row>
        <row r="16">
          <cell r="B16" t="str">
            <v>Нематериальные активы</v>
          </cell>
          <cell r="C16" t="str">
            <v>A04</v>
          </cell>
          <cell r="D16" t="str">
            <v>Нематериальные активы (movement for period)</v>
          </cell>
          <cell r="E16" t="str">
            <v>02</v>
          </cell>
          <cell r="F16" t="str">
            <v>A04.02</v>
          </cell>
        </row>
        <row r="17">
          <cell r="B17" t="str">
            <v>Торговая дебиторская задолженность</v>
          </cell>
          <cell r="C17" t="str">
            <v>A05</v>
          </cell>
          <cell r="D17" t="str">
            <v>Торговая дебиторская задолженность</v>
          </cell>
          <cell r="E17" t="str">
            <v>01</v>
          </cell>
          <cell r="F17" t="str">
            <v>A05.01</v>
          </cell>
        </row>
        <row r="18">
          <cell r="B18" t="str">
            <v>Гудвил</v>
          </cell>
          <cell r="C18" t="str">
            <v>A06</v>
          </cell>
          <cell r="F18" t="str">
            <v>A06.</v>
          </cell>
        </row>
        <row r="19">
          <cell r="B19" t="str">
            <v>Долгосрочные финансовые активы (инвестиции)</v>
          </cell>
          <cell r="C19" t="str">
            <v>A07</v>
          </cell>
          <cell r="D19" t="str">
            <v>Долгосрочные финансовые активы (инвестиции)</v>
          </cell>
          <cell r="E19" t="str">
            <v>01</v>
          </cell>
          <cell r="F19" t="str">
            <v>A07.01</v>
          </cell>
        </row>
        <row r="20">
          <cell r="B20" t="str">
            <v>Долгосрочные биологические активы</v>
          </cell>
          <cell r="C20" t="str">
            <v>A08</v>
          </cell>
          <cell r="F20" t="str">
            <v>A08.</v>
          </cell>
        </row>
        <row r="21">
          <cell r="B21" t="str">
            <v>Прочие необоротные активы</v>
          </cell>
          <cell r="C21" t="str">
            <v>A09</v>
          </cell>
          <cell r="D21" t="str">
            <v>Прочие необоротные активы</v>
          </cell>
          <cell r="E21" t="str">
            <v>01</v>
          </cell>
          <cell r="F21" t="str">
            <v>A09.01</v>
          </cell>
        </row>
        <row r="22">
          <cell r="B22" t="str">
            <v>Отложенные налоговые активы</v>
          </cell>
          <cell r="C22" t="str">
            <v>A10</v>
          </cell>
          <cell r="D22" t="str">
            <v>Отложенные налоговые активы</v>
          </cell>
          <cell r="E22" t="str">
            <v>01</v>
          </cell>
          <cell r="F22" t="str">
            <v>A10.01</v>
          </cell>
        </row>
        <row r="24">
          <cell r="B24" t="str">
            <v>Материально-производственные запасы</v>
          </cell>
          <cell r="C24" t="str">
            <v>A11</v>
          </cell>
          <cell r="D24" t="str">
            <v>Сырье</v>
          </cell>
          <cell r="E24" t="str">
            <v>01</v>
          </cell>
          <cell r="F24" t="str">
            <v>A11.01</v>
          </cell>
        </row>
        <row r="25">
          <cell r="B25" t="str">
            <v>Материально-производственные запасы</v>
          </cell>
          <cell r="C25" t="str">
            <v>A11</v>
          </cell>
          <cell r="D25" t="str">
            <v>Готовая продукция</v>
          </cell>
          <cell r="E25" t="str">
            <v>02</v>
          </cell>
          <cell r="F25" t="str">
            <v>A11.02</v>
          </cell>
        </row>
        <row r="26">
          <cell r="B26" t="str">
            <v>Материально-производственные запасы</v>
          </cell>
          <cell r="C26" t="str">
            <v>A11</v>
          </cell>
          <cell r="D26" t="str">
            <v>Товары</v>
          </cell>
          <cell r="E26" t="str">
            <v>03</v>
          </cell>
          <cell r="F26" t="str">
            <v>A11.03</v>
          </cell>
        </row>
        <row r="27">
          <cell r="B27" t="str">
            <v>Материально-производственные запасы</v>
          </cell>
          <cell r="C27" t="str">
            <v>A11</v>
          </cell>
          <cell r="D27" t="str">
            <v>Запасные части</v>
          </cell>
          <cell r="E27" t="str">
            <v>04</v>
          </cell>
          <cell r="F27" t="str">
            <v>A11.04</v>
          </cell>
        </row>
        <row r="28">
          <cell r="B28" t="str">
            <v>Материально-производственные запасы</v>
          </cell>
          <cell r="C28" t="str">
            <v>A11</v>
          </cell>
          <cell r="D28" t="str">
            <v>Компоненты и прочие запасы</v>
          </cell>
          <cell r="E28" t="str">
            <v>05</v>
          </cell>
          <cell r="F28" t="str">
            <v>A11.05</v>
          </cell>
        </row>
        <row r="29">
          <cell r="B29" t="str">
            <v>Материально-производственные запасы</v>
          </cell>
          <cell r="C29" t="str">
            <v>A11</v>
          </cell>
          <cell r="D29" t="str">
            <v>Незавершенное производство</v>
          </cell>
          <cell r="E29" t="str">
            <v>06</v>
          </cell>
          <cell r="F29" t="str">
            <v>A11.06</v>
          </cell>
        </row>
        <row r="30">
          <cell r="B30" t="str">
            <v>Материально-производственные запасы</v>
          </cell>
          <cell r="C30" t="str">
            <v>A11</v>
          </cell>
          <cell r="D30" t="str">
            <v>Материалы сельскохозяйственного назначения</v>
          </cell>
          <cell r="E30" t="str">
            <v>07</v>
          </cell>
          <cell r="F30" t="str">
            <v>A11.07</v>
          </cell>
        </row>
        <row r="31">
          <cell r="B31" t="str">
            <v>Текущие биологические активы</v>
          </cell>
          <cell r="C31" t="str">
            <v>A21</v>
          </cell>
          <cell r="D31" t="str">
            <v>Текущие биологические активы</v>
          </cell>
          <cell r="E31" t="str">
            <v>01</v>
          </cell>
          <cell r="F31" t="str">
            <v>A21.01</v>
          </cell>
        </row>
        <row r="32">
          <cell r="B32" t="str">
            <v>Сельхоз продукция</v>
          </cell>
          <cell r="C32" t="str">
            <v>A19</v>
          </cell>
          <cell r="D32" t="str">
            <v>Сельхоз продукция</v>
          </cell>
          <cell r="E32" t="str">
            <v>01</v>
          </cell>
          <cell r="F32" t="str">
            <v>A19.01</v>
          </cell>
        </row>
        <row r="33">
          <cell r="B33" t="str">
            <v>Материально-производственные запасы</v>
          </cell>
          <cell r="C33" t="str">
            <v>A11</v>
          </cell>
          <cell r="D33" t="str">
            <v>Прочие запасы (NEED RJU)</v>
          </cell>
          <cell r="E33" t="str">
            <v>09</v>
          </cell>
          <cell r="F33" t="str">
            <v>A11.08</v>
          </cell>
        </row>
        <row r="34">
          <cell r="B34" t="str">
            <v>Прочая дебиторская задолженность</v>
          </cell>
          <cell r="C34" t="str">
            <v>A12</v>
          </cell>
          <cell r="D34" t="str">
            <v>Прочая дебиторская задолженность</v>
          </cell>
          <cell r="E34" t="str">
            <v>03</v>
          </cell>
          <cell r="F34" t="str">
            <v>A12.03</v>
          </cell>
        </row>
        <row r="35">
          <cell r="B35" t="str">
            <v>Прочая дебиторская задолженность</v>
          </cell>
          <cell r="C35" t="str">
            <v>A12</v>
          </cell>
          <cell r="D35" t="str">
            <v>Резер сомнительных долгов</v>
          </cell>
          <cell r="E35" t="str">
            <v>04</v>
          </cell>
          <cell r="F35" t="str">
            <v>A12.04</v>
          </cell>
        </row>
        <row r="36">
          <cell r="B36" t="str">
            <v>Прочая дебиторская задолженность</v>
          </cell>
          <cell r="C36" t="str">
            <v>A12</v>
          </cell>
          <cell r="D36" t="str">
            <v>Задолженность учредителей</v>
          </cell>
          <cell r="E36" t="str">
            <v>05</v>
          </cell>
          <cell r="F36" t="str">
            <v>A12.05</v>
          </cell>
        </row>
        <row r="37">
          <cell r="B37" t="str">
            <v>Авансы выданные</v>
          </cell>
          <cell r="C37" t="str">
            <v>A13</v>
          </cell>
          <cell r="D37" t="str">
            <v>Авансы выданные</v>
          </cell>
          <cell r="E37" t="str">
            <v>01</v>
          </cell>
          <cell r="F37" t="str">
            <v>A13.01</v>
          </cell>
        </row>
        <row r="38">
          <cell r="B38" t="str">
            <v>Авансы выданные</v>
          </cell>
          <cell r="C38" t="str">
            <v>A13</v>
          </cell>
          <cell r="D38" t="str">
            <v>Расходы будущих периодов</v>
          </cell>
          <cell r="E38" t="str">
            <v>02</v>
          </cell>
          <cell r="F38" t="str">
            <v>A13.02</v>
          </cell>
        </row>
        <row r="39">
          <cell r="B39" t="str">
            <v>Предоплаты по налогу на прибыль</v>
          </cell>
          <cell r="C39" t="str">
            <v>A14</v>
          </cell>
          <cell r="D39" t="str">
            <v>Предоплаты по налогу на прибыль</v>
          </cell>
          <cell r="E39" t="str">
            <v>01</v>
          </cell>
          <cell r="F39" t="str">
            <v>A14.01</v>
          </cell>
        </row>
        <row r="40">
          <cell r="B40" t="str">
            <v>Налоги к возмещению, отличные от налога на прибыль</v>
          </cell>
          <cell r="C40" t="str">
            <v>A15</v>
          </cell>
          <cell r="D40" t="str">
            <v>НДС к возмещению</v>
          </cell>
          <cell r="E40" t="str">
            <v>01</v>
          </cell>
          <cell r="F40" t="str">
            <v>A15.01</v>
          </cell>
        </row>
        <row r="41">
          <cell r="B41" t="str">
            <v>Налоги к возмещению, отличные от налога на прибыль</v>
          </cell>
          <cell r="C41" t="str">
            <v>A15</v>
          </cell>
          <cell r="D41" t="str">
            <v>Прочие налоги к возмещению из бюджета</v>
          </cell>
          <cell r="E41" t="str">
            <v>02</v>
          </cell>
          <cell r="F41" t="str">
            <v>A15.02</v>
          </cell>
        </row>
        <row r="42">
          <cell r="B42" t="str">
            <v>Прочие оборотные активы</v>
          </cell>
          <cell r="C42" t="str">
            <v>A16</v>
          </cell>
          <cell r="F42" t="str">
            <v>A16.</v>
          </cell>
        </row>
        <row r="43">
          <cell r="B43" t="str">
            <v>Краткосрочные финансовые активы (инвестиции)</v>
          </cell>
          <cell r="C43" t="str">
            <v>A17</v>
          </cell>
          <cell r="D43" t="str">
            <v>Краткосрочные финансовые активы (инвестиции)</v>
          </cell>
          <cell r="E43" t="str">
            <v>01</v>
          </cell>
          <cell r="F43" t="str">
            <v>A17.01</v>
          </cell>
        </row>
        <row r="44">
          <cell r="B44" t="str">
            <v>Денежные средства и их эквиваленты</v>
          </cell>
          <cell r="C44" t="str">
            <v>A18</v>
          </cell>
          <cell r="D44" t="str">
            <v>Денежные средства в кассе и на банк счетах</v>
          </cell>
          <cell r="E44" t="str">
            <v>01</v>
          </cell>
          <cell r="F44" t="str">
            <v>A18.01</v>
          </cell>
        </row>
        <row r="45">
          <cell r="B45" t="str">
            <v>Денежные средства и их эквиваленты</v>
          </cell>
          <cell r="C45" t="str">
            <v>A18</v>
          </cell>
          <cell r="D45" t="str">
            <v>Краткосрочные депозиты (до 3-х месяцев)</v>
          </cell>
          <cell r="E45" t="str">
            <v>02</v>
          </cell>
          <cell r="F45" t="str">
            <v>A18.02</v>
          </cell>
        </row>
        <row r="46">
          <cell r="B46" t="str">
            <v>Денежные средства и их эквиваленты</v>
          </cell>
          <cell r="C46" t="str">
            <v>A18</v>
          </cell>
          <cell r="D46" t="str">
            <v>Денежные средства, ограниченные к использованию</v>
          </cell>
          <cell r="E46" t="str">
            <v>03</v>
          </cell>
          <cell r="F46" t="str">
            <v>A18.03</v>
          </cell>
        </row>
        <row r="47">
          <cell r="B47" t="str">
            <v>Денежные средства и их эквиваленты</v>
          </cell>
          <cell r="C47" t="str">
            <v>A18</v>
          </cell>
          <cell r="D47" t="str">
            <v>Денежные средства в пути</v>
          </cell>
          <cell r="E47" t="str">
            <v>04</v>
          </cell>
          <cell r="F47" t="str">
            <v>A18.04</v>
          </cell>
        </row>
        <row r="48">
          <cell r="B48" t="str">
            <v>Денежные средства и их эквиваленты</v>
          </cell>
          <cell r="C48" t="str">
            <v>A18</v>
          </cell>
          <cell r="D48" t="str">
            <v>Эквиваленты денежных средств</v>
          </cell>
          <cell r="E48" t="str">
            <v>05</v>
          </cell>
          <cell r="F48" t="str">
            <v>A18.05</v>
          </cell>
        </row>
        <row r="49">
          <cell r="B49" t="str">
            <v>Денежные средства и их эквиваленты</v>
          </cell>
          <cell r="C49" t="str">
            <v>A18</v>
          </cell>
          <cell r="D49" t="str">
            <v>Прочие денежные средства</v>
          </cell>
          <cell r="E49" t="str">
            <v>06</v>
          </cell>
          <cell r="F49" t="str">
            <v>A18.06</v>
          </cell>
        </row>
        <row r="51">
          <cell r="B51" t="str">
            <v>Учредительный капитал</v>
          </cell>
          <cell r="C51" t="str">
            <v>E01</v>
          </cell>
          <cell r="D51" t="str">
            <v>Учредительный капитал (brought forward)</v>
          </cell>
          <cell r="E51" t="str">
            <v>01</v>
          </cell>
          <cell r="F51" t="str">
            <v>E01.01</v>
          </cell>
        </row>
        <row r="52">
          <cell r="B52" t="str">
            <v>Учредительный капитал</v>
          </cell>
          <cell r="C52" t="str">
            <v>E01</v>
          </cell>
          <cell r="D52" t="str">
            <v>Учредительный капитал (movement for period)</v>
          </cell>
          <cell r="E52" t="str">
            <v>02</v>
          </cell>
          <cell r="F52" t="str">
            <v>E01.02</v>
          </cell>
        </row>
        <row r="53">
          <cell r="B53" t="str">
            <v>Неоплаченный капитал</v>
          </cell>
          <cell r="C53" t="str">
            <v>E02</v>
          </cell>
          <cell r="D53" t="str">
            <v>Неоплаченный капитал</v>
          </cell>
          <cell r="E53" t="str">
            <v>02</v>
          </cell>
          <cell r="F53" t="str">
            <v>E02.02</v>
          </cell>
        </row>
        <row r="54">
          <cell r="B54" t="str">
            <v>Дополнительный капитал</v>
          </cell>
          <cell r="C54" t="str">
            <v>E03</v>
          </cell>
          <cell r="D54" t="str">
            <v>Дополнительный капитал</v>
          </cell>
          <cell r="E54" t="str">
            <v>03</v>
          </cell>
          <cell r="F54" t="str">
            <v>E03.03</v>
          </cell>
        </row>
        <row r="55">
          <cell r="B55" t="str">
            <v>Эмиссионный доход</v>
          </cell>
          <cell r="C55" t="str">
            <v>E04</v>
          </cell>
          <cell r="D55" t="str">
            <v>Эмиссионный доход</v>
          </cell>
          <cell r="E55" t="str">
            <v>04</v>
          </cell>
          <cell r="F55" t="str">
            <v>E04.04</v>
          </cell>
        </row>
        <row r="56">
          <cell r="B56" t="str">
            <v>Изъятый капитал</v>
          </cell>
          <cell r="C56" t="str">
            <v>E05</v>
          </cell>
          <cell r="D56" t="str">
            <v>Изъятый капитал</v>
          </cell>
          <cell r="E56" t="str">
            <v>05</v>
          </cell>
          <cell r="F56" t="str">
            <v>E05.05</v>
          </cell>
        </row>
        <row r="57">
          <cell r="B57" t="str">
            <v>Эффект перевода в валюту представления</v>
          </cell>
          <cell r="C57" t="str">
            <v>E06</v>
          </cell>
          <cell r="D57" t="str">
            <v>Эффект перевода в валюту представления</v>
          </cell>
          <cell r="E57" t="str">
            <v>06</v>
          </cell>
          <cell r="F57" t="str">
            <v>E06.06</v>
          </cell>
        </row>
        <row r="58">
          <cell r="B58" t="str">
            <v>Нераспределенная прибыль (убыток)</v>
          </cell>
          <cell r="C58" t="str">
            <v>E07</v>
          </cell>
          <cell r="D58" t="str">
            <v>Нераспределенная прибыль (убыток) (brought forward)</v>
          </cell>
          <cell r="E58" t="str">
            <v>01</v>
          </cell>
          <cell r="F58" t="str">
            <v>E07.01</v>
          </cell>
        </row>
        <row r="59">
          <cell r="B59" t="str">
            <v>Нераспределенная прибыль (убыток)</v>
          </cell>
          <cell r="C59" t="str">
            <v>E07</v>
          </cell>
          <cell r="D59" t="str">
            <v>Нераспределенная прибыль (убыток) (movement for period)</v>
          </cell>
          <cell r="E59" t="str">
            <v>02</v>
          </cell>
          <cell r="F59" t="str">
            <v>E07.02</v>
          </cell>
        </row>
        <row r="60">
          <cell r="B60" t="str">
            <v>Внесение капитала</v>
          </cell>
          <cell r="C60" t="str">
            <v>E08</v>
          </cell>
          <cell r="D60" t="str">
            <v>Внесение капитала (brought forward)</v>
          </cell>
          <cell r="E60" t="str">
            <v>01</v>
          </cell>
          <cell r="F60" t="str">
            <v>E08.01</v>
          </cell>
        </row>
        <row r="61">
          <cell r="B61" t="str">
            <v>Внесение капитала</v>
          </cell>
          <cell r="C61" t="str">
            <v>E08</v>
          </cell>
          <cell r="D61" t="str">
            <v>Внесение капитала (movement for period)</v>
          </cell>
          <cell r="E61" t="str">
            <v>02</v>
          </cell>
          <cell r="F61" t="str">
            <v>E08.02</v>
          </cell>
        </row>
        <row r="62">
          <cell r="B62" t="str">
            <v>Резерв переоценки основных средств</v>
          </cell>
          <cell r="C62" t="str">
            <v>E09</v>
          </cell>
          <cell r="D62" t="str">
            <v>Резерв переоценки основных средств (brought forward)</v>
          </cell>
          <cell r="E62" t="str">
            <v>01</v>
          </cell>
          <cell r="F62" t="str">
            <v>E09.01</v>
          </cell>
        </row>
        <row r="63">
          <cell r="B63" t="str">
            <v>Резерв переоценки основных средств</v>
          </cell>
          <cell r="C63" t="str">
            <v>E09</v>
          </cell>
          <cell r="D63" t="str">
            <v>Резерв переоценки основных средств (movement for period)</v>
          </cell>
          <cell r="E63" t="str">
            <v>02</v>
          </cell>
          <cell r="F63" t="str">
            <v>E09.02</v>
          </cell>
        </row>
        <row r="64">
          <cell r="B64" t="str">
            <v>Доля неконтролирующих участников</v>
          </cell>
          <cell r="C64" t="str">
            <v>E10</v>
          </cell>
          <cell r="D64" t="str">
            <v>Доля неконтролирующих участников (brought forward)</v>
          </cell>
          <cell r="E64" t="str">
            <v>01</v>
          </cell>
          <cell r="F64" t="str">
            <v>E10.01</v>
          </cell>
        </row>
        <row r="65">
          <cell r="B65" t="str">
            <v>Доля неконтролирующих участников</v>
          </cell>
          <cell r="C65" t="str">
            <v>E10</v>
          </cell>
          <cell r="D65" t="str">
            <v>Доля неконтролирующих участников (movement for period)</v>
          </cell>
          <cell r="E65" t="str">
            <v>02</v>
          </cell>
          <cell r="F65" t="str">
            <v>E10.02</v>
          </cell>
        </row>
        <row r="67">
          <cell r="B67" t="str">
            <v>Кредиты и заимствования</v>
          </cell>
          <cell r="C67" t="str">
            <v>L01</v>
          </cell>
          <cell r="D67" t="str">
            <v>Долгосрочные банковские займы</v>
          </cell>
          <cell r="E67" t="str">
            <v>01</v>
          </cell>
          <cell r="F67" t="str">
            <v>L01.01</v>
          </cell>
        </row>
        <row r="68">
          <cell r="B68" t="str">
            <v>Прочие долгосрочные обязательства</v>
          </cell>
          <cell r="C68" t="str">
            <v>L02</v>
          </cell>
          <cell r="D68" t="str">
            <v>Прочие долгосрочные займы</v>
          </cell>
          <cell r="E68" t="str">
            <v>02</v>
          </cell>
          <cell r="F68" t="str">
            <v>L02.02</v>
          </cell>
        </row>
        <row r="69">
          <cell r="B69" t="str">
            <v>Прочие долгосрочные обязательства</v>
          </cell>
          <cell r="C69" t="str">
            <v>L02</v>
          </cell>
          <cell r="D69" t="str">
            <v>Прочие долгосрочные обязательства</v>
          </cell>
          <cell r="E69" t="str">
            <v>01</v>
          </cell>
          <cell r="F69" t="str">
            <v>L02.01</v>
          </cell>
        </row>
        <row r="70">
          <cell r="B70" t="str">
            <v>Обязательства по финаренде</v>
          </cell>
          <cell r="C70" t="str">
            <v>L03</v>
          </cell>
          <cell r="D70" t="str">
            <v>Обязательства по финаренде</v>
          </cell>
          <cell r="E70" t="str">
            <v>01</v>
          </cell>
          <cell r="F70" t="str">
            <v>L03.01</v>
          </cell>
        </row>
        <row r="71">
          <cell r="B71" t="str">
            <v>Резервы</v>
          </cell>
          <cell r="C71" t="str">
            <v>L04</v>
          </cell>
          <cell r="D71" t="str">
            <v>Резервы по выплатам персоналу</v>
          </cell>
          <cell r="E71" t="str">
            <v>01</v>
          </cell>
          <cell r="F71" t="str">
            <v>L04.01</v>
          </cell>
        </row>
        <row r="72">
          <cell r="B72" t="str">
            <v>Отложенные налоговые обязательства</v>
          </cell>
          <cell r="C72" t="str">
            <v>L05</v>
          </cell>
          <cell r="D72" t="str">
            <v>Отложенные налоговые обязательства</v>
          </cell>
          <cell r="E72" t="str">
            <v>01</v>
          </cell>
          <cell r="F72" t="str">
            <v>L05.01</v>
          </cell>
        </row>
        <row r="74">
          <cell r="B74" t="str">
            <v>Кредиты и заимствования (текущая часть)</v>
          </cell>
          <cell r="C74" t="str">
            <v>L06</v>
          </cell>
          <cell r="D74" t="str">
            <v>Краткосрочные банковские займы</v>
          </cell>
          <cell r="E74" t="str">
            <v>01</v>
          </cell>
          <cell r="F74" t="str">
            <v>L06.01</v>
          </cell>
        </row>
        <row r="75">
          <cell r="B75" t="str">
            <v>Кредиты и заимствования (текущая часть)</v>
          </cell>
          <cell r="C75" t="str">
            <v>L06</v>
          </cell>
          <cell r="D75" t="str">
            <v>Прочие краткосрочные займы</v>
          </cell>
          <cell r="E75" t="str">
            <v>02</v>
          </cell>
          <cell r="F75" t="str">
            <v>L06.02</v>
          </cell>
        </row>
        <row r="76">
          <cell r="B76" t="str">
            <v>Кредиты и заимствования (текущая часть)</v>
          </cell>
          <cell r="C76" t="str">
            <v>L06</v>
          </cell>
          <cell r="D76" t="str">
            <v>Текущая часть долгосрочных обязательств</v>
          </cell>
          <cell r="E76" t="str">
            <v>03</v>
          </cell>
          <cell r="F76" t="str">
            <v>L06.03</v>
          </cell>
        </row>
        <row r="77">
          <cell r="B77" t="str">
            <v>Кредиты и заимствования (текущая часть)</v>
          </cell>
          <cell r="C77" t="str">
            <v>L06</v>
          </cell>
          <cell r="D77" t="str">
            <v>Краткосрочные займы (NEED RJU)</v>
          </cell>
          <cell r="E77" t="str">
            <v>04</v>
          </cell>
          <cell r="F77" t="str">
            <v>L06.04</v>
          </cell>
        </row>
        <row r="78">
          <cell r="B78" t="str">
            <v>Обязательства по финаренде (текущая часть)</v>
          </cell>
          <cell r="C78" t="str">
            <v>L07</v>
          </cell>
          <cell r="D78" t="str">
            <v>Обязательства по финаренде (текущая часть)</v>
          </cell>
          <cell r="E78" t="str">
            <v>01</v>
          </cell>
          <cell r="F78" t="str">
            <v>L07.01</v>
          </cell>
        </row>
        <row r="79">
          <cell r="B79" t="str">
            <v>Торговая и прочая кредиторская задолженность</v>
          </cell>
          <cell r="C79" t="str">
            <v>L08</v>
          </cell>
          <cell r="D79" t="str">
            <v>Торговая кредиторская задолженность</v>
          </cell>
          <cell r="E79" t="str">
            <v>01</v>
          </cell>
          <cell r="F79" t="str">
            <v>L08.01</v>
          </cell>
        </row>
        <row r="80">
          <cell r="B80" t="str">
            <v>Торговая и прочая кредиторская задолженность</v>
          </cell>
          <cell r="C80" t="str">
            <v>L08</v>
          </cell>
          <cell r="D80" t="str">
            <v>Задолженность перед RP</v>
          </cell>
          <cell r="E80" t="str">
            <v>02</v>
          </cell>
          <cell r="F80" t="str">
            <v>L08.02</v>
          </cell>
        </row>
        <row r="81">
          <cell r="B81" t="str">
            <v>Торговая и прочая кредиторская задолженность</v>
          </cell>
          <cell r="C81" t="str">
            <v>L08</v>
          </cell>
          <cell r="D81" t="str">
            <v>Прочая кредиторская задолженность</v>
          </cell>
          <cell r="E81" t="str">
            <v>03</v>
          </cell>
          <cell r="F81" t="str">
            <v>L08.03</v>
          </cell>
        </row>
        <row r="82">
          <cell r="B82" t="str">
            <v>Торговая и прочая кредиторская задолженность</v>
          </cell>
          <cell r="C82" t="str">
            <v>L08</v>
          </cell>
          <cell r="D82" t="str">
            <v>Резерв неиспользованных отпусков</v>
          </cell>
          <cell r="E82" t="str">
            <v>04</v>
          </cell>
          <cell r="F82" t="str">
            <v>L08.04</v>
          </cell>
        </row>
        <row r="83">
          <cell r="B83" t="str">
            <v>Торговая и прочая кредиторская задолженность</v>
          </cell>
          <cell r="C83" t="str">
            <v>L08</v>
          </cell>
          <cell r="D83" t="str">
            <v>Расчеты по аренде</v>
          </cell>
          <cell r="E83" t="str">
            <v>05</v>
          </cell>
          <cell r="F83" t="str">
            <v>L08.05</v>
          </cell>
        </row>
        <row r="84">
          <cell r="B84" t="str">
            <v>Налог на прибыль к уплате</v>
          </cell>
          <cell r="C84" t="str">
            <v>L09</v>
          </cell>
          <cell r="D84" t="str">
            <v>Налог на прибыль к уплате</v>
          </cell>
          <cell r="E84" t="str">
            <v>01</v>
          </cell>
          <cell r="F84" t="str">
            <v>L09.01</v>
          </cell>
        </row>
        <row r="85">
          <cell r="B85" t="str">
            <v>Авансы полученные и прочие обязательства</v>
          </cell>
          <cell r="C85" t="str">
            <v>L10</v>
          </cell>
          <cell r="D85" t="str">
            <v>Авансы полученные</v>
          </cell>
          <cell r="E85" t="str">
            <v>01</v>
          </cell>
          <cell r="F85" t="str">
            <v>L10.01</v>
          </cell>
        </row>
        <row r="86">
          <cell r="B86" t="str">
            <v>Авансы полученные и прочие обязательства</v>
          </cell>
          <cell r="C86" t="str">
            <v>L10</v>
          </cell>
          <cell r="D86" t="str">
            <v>Проценты к уплате</v>
          </cell>
          <cell r="E86" t="str">
            <v>02</v>
          </cell>
          <cell r="F86" t="str">
            <v>L10.02</v>
          </cell>
        </row>
        <row r="87">
          <cell r="B87" t="str">
            <v>Авансы полученные и прочие обязательства</v>
          </cell>
          <cell r="C87" t="str">
            <v>L10</v>
          </cell>
          <cell r="D87" t="str">
            <v>Прочие налоги и подобные им сборы к уплате</v>
          </cell>
          <cell r="E87" t="str">
            <v>03</v>
          </cell>
          <cell r="F87" t="str">
            <v>L10.03</v>
          </cell>
        </row>
        <row r="88">
          <cell r="B88" t="str">
            <v>Авансы полученные и прочие обязательства</v>
          </cell>
          <cell r="C88" t="str">
            <v>L10</v>
          </cell>
          <cell r="D88" t="str">
            <v>Прочие текущие обязательства</v>
          </cell>
          <cell r="E88" t="str">
            <v>04</v>
          </cell>
          <cell r="F88" t="str">
            <v>L10.04</v>
          </cell>
        </row>
        <row r="89">
          <cell r="B89" t="str">
            <v>Авансы полученные и прочие обязательства</v>
          </cell>
          <cell r="C89" t="str">
            <v>L10</v>
          </cell>
          <cell r="D89" t="str">
            <v>Прочие расчеты с кредиторами (NEED RJU)</v>
          </cell>
          <cell r="E89" t="str">
            <v>05</v>
          </cell>
          <cell r="F89" t="str">
            <v>L10.05</v>
          </cell>
        </row>
        <row r="90">
          <cell r="B90" t="str">
            <v>Авансы полученные и прочие обязательства</v>
          </cell>
          <cell r="C90" t="str">
            <v>L10</v>
          </cell>
          <cell r="D90" t="str">
            <v>Доходы будущих периодов</v>
          </cell>
          <cell r="E90" t="str">
            <v>06</v>
          </cell>
          <cell r="F90" t="str">
            <v>L10.06</v>
          </cell>
        </row>
        <row r="92">
          <cell r="B92" t="str">
            <v>Выручка</v>
          </cell>
          <cell r="C92" t="str">
            <v>P01</v>
          </cell>
          <cell r="D92" t="str">
            <v>Выручка (NEED RJU)</v>
          </cell>
          <cell r="E92" t="str">
            <v>01</v>
          </cell>
          <cell r="F92" t="str">
            <v>P01.01</v>
          </cell>
        </row>
        <row r="93">
          <cell r="B93" t="str">
            <v>Выручка</v>
          </cell>
          <cell r="C93" t="str">
            <v>P01</v>
          </cell>
          <cell r="D93" t="str">
            <v>Выручка от реализации ГП</v>
          </cell>
          <cell r="E93" t="str">
            <v>02</v>
          </cell>
          <cell r="F93" t="str">
            <v>P01.02</v>
          </cell>
        </row>
        <row r="94">
          <cell r="B94" t="str">
            <v>Выручка</v>
          </cell>
          <cell r="C94" t="str">
            <v>P01</v>
          </cell>
          <cell r="D94" t="str">
            <v>Выручка от реализации товаров</v>
          </cell>
          <cell r="E94" t="str">
            <v>03</v>
          </cell>
          <cell r="F94" t="str">
            <v>P01.03</v>
          </cell>
        </row>
        <row r="95">
          <cell r="B95" t="str">
            <v>Выручка</v>
          </cell>
          <cell r="C95" t="str">
            <v>P01</v>
          </cell>
          <cell r="D95" t="str">
            <v>Выручка от реализации работ и услуг</v>
          </cell>
          <cell r="E95" t="str">
            <v>04</v>
          </cell>
          <cell r="F95" t="str">
            <v>P01.04</v>
          </cell>
        </row>
        <row r="96">
          <cell r="B96" t="str">
            <v>Себестоимость</v>
          </cell>
          <cell r="C96" t="str">
            <v>P02</v>
          </cell>
          <cell r="D96" t="str">
            <v>Себестоимость реализации (NEED RJU)</v>
          </cell>
          <cell r="E96" t="str">
            <v>01</v>
          </cell>
          <cell r="F96" t="str">
            <v>P02.01</v>
          </cell>
        </row>
        <row r="97">
          <cell r="B97" t="str">
            <v>Себестоимость</v>
          </cell>
          <cell r="C97" t="str">
            <v>P02</v>
          </cell>
          <cell r="D97" t="str">
            <v>Себестоимость реализации (ГП)</v>
          </cell>
          <cell r="E97" t="str">
            <v>02</v>
          </cell>
          <cell r="F97" t="str">
            <v>P02.02</v>
          </cell>
        </row>
        <row r="98">
          <cell r="B98" t="str">
            <v>Себестоимость</v>
          </cell>
          <cell r="C98" t="str">
            <v>P02</v>
          </cell>
          <cell r="D98" t="str">
            <v>Себестоимость реализации (Товары)</v>
          </cell>
          <cell r="E98" t="str">
            <v>03</v>
          </cell>
          <cell r="F98" t="str">
            <v>P02.03</v>
          </cell>
        </row>
        <row r="99">
          <cell r="B99" t="str">
            <v>Себестоимость</v>
          </cell>
          <cell r="C99" t="str">
            <v>P02</v>
          </cell>
          <cell r="D99" t="str">
            <v>Себестоимость реализации (Услуги)</v>
          </cell>
          <cell r="E99" t="str">
            <v>04</v>
          </cell>
          <cell r="F99" t="str">
            <v>P02.04</v>
          </cell>
        </row>
        <row r="100">
          <cell r="B100" t="str">
            <v>Расходы на сбыт</v>
          </cell>
          <cell r="C100" t="str">
            <v>P03</v>
          </cell>
          <cell r="D100" t="str">
            <v>Расходы на сбыт (NEED RJU)</v>
          </cell>
          <cell r="E100" t="str">
            <v>01</v>
          </cell>
          <cell r="F100" t="str">
            <v>P03.01</v>
          </cell>
        </row>
        <row r="101">
          <cell r="B101" t="str">
            <v>Расходы на сбыт</v>
          </cell>
          <cell r="C101" t="str">
            <v>P03</v>
          </cell>
          <cell r="D101" t="str">
            <v>Услуги транспортных организаций (сбыт)</v>
          </cell>
          <cell r="E101" t="str">
            <v>02</v>
          </cell>
          <cell r="F101" t="str">
            <v>P03.02</v>
          </cell>
        </row>
        <row r="102">
          <cell r="B102" t="str">
            <v>Расходы на сбыт</v>
          </cell>
          <cell r="C102" t="str">
            <v>P03</v>
          </cell>
          <cell r="D102" t="str">
            <v>Заработная плата и связанные с ней налоги и сборы (Сбыт)</v>
          </cell>
          <cell r="E102" t="str">
            <v>03</v>
          </cell>
          <cell r="F102" t="str">
            <v>P03.03</v>
          </cell>
        </row>
        <row r="103">
          <cell r="B103" t="str">
            <v>Расходы на сбыт</v>
          </cell>
          <cell r="C103" t="str">
            <v>P03</v>
          </cell>
          <cell r="D103" t="str">
            <v>Расходы по аренде</v>
          </cell>
          <cell r="E103" t="str">
            <v>04</v>
          </cell>
          <cell r="F103" t="str">
            <v>P03.04</v>
          </cell>
        </row>
        <row r="104">
          <cell r="B104" t="str">
            <v>Расходы на сбыт</v>
          </cell>
          <cell r="C104" t="str">
            <v>P03</v>
          </cell>
          <cell r="D104" t="str">
            <v>Услуги связи</v>
          </cell>
          <cell r="E104" t="str">
            <v>05</v>
          </cell>
          <cell r="F104" t="str">
            <v>P03.05</v>
          </cell>
        </row>
        <row r="105">
          <cell r="B105" t="str">
            <v>Расходы на сбыт</v>
          </cell>
          <cell r="C105" t="str">
            <v>P03</v>
          </cell>
          <cell r="D105" t="str">
            <v>Материалы</v>
          </cell>
          <cell r="E105" t="str">
            <v>06</v>
          </cell>
          <cell r="F105" t="str">
            <v>P03.06</v>
          </cell>
        </row>
        <row r="106">
          <cell r="B106" t="str">
            <v>Расходы на сбыт</v>
          </cell>
          <cell r="C106" t="str">
            <v>P03</v>
          </cell>
          <cell r="D106" t="str">
            <v>Прочие (сбыт)</v>
          </cell>
          <cell r="E106" t="str">
            <v>07</v>
          </cell>
          <cell r="F106" t="str">
            <v>P03.07</v>
          </cell>
        </row>
        <row r="107">
          <cell r="B107" t="str">
            <v>Общие и административные расходы</v>
          </cell>
          <cell r="C107" t="str">
            <v>P04</v>
          </cell>
          <cell r="D107" t="str">
            <v>Административные расходы (NEED RJU)</v>
          </cell>
          <cell r="E107" t="str">
            <v>01</v>
          </cell>
          <cell r="F107" t="str">
            <v>P04.01</v>
          </cell>
        </row>
        <row r="108">
          <cell r="B108" t="str">
            <v>Общие и административные расходы</v>
          </cell>
          <cell r="C108" t="str">
            <v>P04</v>
          </cell>
          <cell r="D108" t="str">
            <v>Заработная плата и связанные с ней налоги и сборы (Адм)</v>
          </cell>
          <cell r="E108" t="str">
            <v>02</v>
          </cell>
          <cell r="F108" t="str">
            <v>P04.02</v>
          </cell>
        </row>
        <row r="109">
          <cell r="B109" t="str">
            <v>Общие и административные расходы</v>
          </cell>
          <cell r="C109" t="str">
            <v>P04</v>
          </cell>
          <cell r="D109" t="str">
            <v>Консультационные услуги</v>
          </cell>
          <cell r="E109" t="str">
            <v>03</v>
          </cell>
          <cell r="F109" t="str">
            <v>P04.03</v>
          </cell>
        </row>
        <row r="110">
          <cell r="B110" t="str">
            <v>Общие и административные расходы</v>
          </cell>
          <cell r="C110" t="str">
            <v>P04</v>
          </cell>
          <cell r="D110" t="str">
            <v>Услуги транспортных организаций (админ)</v>
          </cell>
          <cell r="E110" t="str">
            <v>04</v>
          </cell>
          <cell r="F110" t="str">
            <v>P04.04</v>
          </cell>
        </row>
        <row r="111">
          <cell r="B111" t="str">
            <v>Общие и административные расходы</v>
          </cell>
          <cell r="C111" t="str">
            <v>P04</v>
          </cell>
          <cell r="D111" t="str">
            <v>Связь</v>
          </cell>
          <cell r="E111" t="str">
            <v>05</v>
          </cell>
          <cell r="F111" t="str">
            <v>P04.05</v>
          </cell>
        </row>
        <row r="112">
          <cell r="B112" t="str">
            <v>Общие и административные расходы</v>
          </cell>
          <cell r="C112" t="str">
            <v>P04</v>
          </cell>
          <cell r="D112" t="str">
            <v>Пошлины и сборы</v>
          </cell>
          <cell r="E112" t="str">
            <v>06</v>
          </cell>
          <cell r="F112" t="str">
            <v>P04.06</v>
          </cell>
        </row>
        <row r="113">
          <cell r="B113" t="str">
            <v>Общие и административные расходы</v>
          </cell>
          <cell r="C113" t="str">
            <v>P04</v>
          </cell>
          <cell r="D113" t="str">
            <v>Командировки</v>
          </cell>
          <cell r="E113" t="str">
            <v>07</v>
          </cell>
          <cell r="F113" t="str">
            <v>P04.07</v>
          </cell>
        </row>
        <row r="114">
          <cell r="B114" t="str">
            <v>Общие и административные расходы</v>
          </cell>
          <cell r="C114" t="str">
            <v>P04</v>
          </cell>
          <cell r="D114" t="str">
            <v>Амортизация основных средств</v>
          </cell>
          <cell r="E114" t="str">
            <v>08</v>
          </cell>
          <cell r="F114" t="str">
            <v>P04.08</v>
          </cell>
        </row>
        <row r="115">
          <cell r="B115" t="str">
            <v>Общие и административные расходы</v>
          </cell>
          <cell r="C115" t="str">
            <v>P04</v>
          </cell>
          <cell r="D115" t="str">
            <v>Расходы на страхование</v>
          </cell>
          <cell r="E115" t="str">
            <v>09</v>
          </cell>
          <cell r="F115" t="str">
            <v>P04.09</v>
          </cell>
        </row>
        <row r="116">
          <cell r="B116" t="str">
            <v>Общие и административные расходы</v>
          </cell>
          <cell r="C116" t="str">
            <v>P04</v>
          </cell>
          <cell r="D116" t="str">
            <v>Техническое обслуживание</v>
          </cell>
          <cell r="E116" t="str">
            <v>10</v>
          </cell>
          <cell r="F116" t="str">
            <v>P04.10</v>
          </cell>
        </row>
        <row r="117">
          <cell r="B117" t="str">
            <v>Общие и административные расходы</v>
          </cell>
          <cell r="C117" t="str">
            <v>P04</v>
          </cell>
          <cell r="D117" t="str">
            <v>Прочие (админ)</v>
          </cell>
          <cell r="E117" t="str">
            <v>11</v>
          </cell>
          <cell r="F117" t="str">
            <v>P04.11</v>
          </cell>
        </row>
        <row r="118">
          <cell r="B118" t="str">
            <v>Прочие операционные доходы (расходы)</v>
          </cell>
          <cell r="C118" t="str">
            <v>P05</v>
          </cell>
          <cell r="D118" t="str">
            <v>Пени и неустойки</v>
          </cell>
          <cell r="E118" t="str">
            <v>01</v>
          </cell>
          <cell r="F118" t="str">
            <v>P05.01</v>
          </cell>
        </row>
        <row r="119">
          <cell r="B119" t="str">
            <v>Прочие операционные доходы (расходы)</v>
          </cell>
          <cell r="C119" t="str">
            <v>P05</v>
          </cell>
          <cell r="D119" t="str">
            <v>Полученные штрафы, пени, неустойки</v>
          </cell>
          <cell r="E119" t="str">
            <v>02</v>
          </cell>
          <cell r="F119" t="str">
            <v>P05.02</v>
          </cell>
        </row>
        <row r="120">
          <cell r="B120" t="str">
            <v>Прочие операционные доходы (расходы)</v>
          </cell>
          <cell r="C120" t="str">
            <v>P05</v>
          </cell>
          <cell r="D120" t="str">
            <v>Заработная плата и связанные с ней налоги и сборы (Проч)</v>
          </cell>
          <cell r="E120" t="str">
            <v>03</v>
          </cell>
          <cell r="F120" t="str">
            <v>P05.03</v>
          </cell>
        </row>
        <row r="121">
          <cell r="B121" t="str">
            <v>Прочие операционные доходы (расходы)</v>
          </cell>
          <cell r="C121" t="str">
            <v>P05</v>
          </cell>
          <cell r="D121" t="str">
            <v>Благотворительность</v>
          </cell>
          <cell r="E121" t="str">
            <v>04</v>
          </cell>
          <cell r="F121" t="str">
            <v>P05.04</v>
          </cell>
        </row>
        <row r="122">
          <cell r="B122" t="str">
            <v>Прочие операционные доходы (расходы)</v>
          </cell>
          <cell r="C122" t="str">
            <v>P05</v>
          </cell>
          <cell r="D122" t="str">
            <v>Безнадежная задолженность</v>
          </cell>
          <cell r="E122" t="str">
            <v>05</v>
          </cell>
          <cell r="F122" t="str">
            <v>P05.05</v>
          </cell>
        </row>
        <row r="123">
          <cell r="B123" t="str">
            <v>Прочие операционные доходы (расходы)</v>
          </cell>
          <cell r="C123" t="str">
            <v>P05</v>
          </cell>
          <cell r="D123" t="str">
            <v>Восстановление безнадежной задолженности</v>
          </cell>
          <cell r="E123" t="str">
            <v>06</v>
          </cell>
          <cell r="F123" t="str">
            <v>P05.06</v>
          </cell>
        </row>
        <row r="124">
          <cell r="B124" t="str">
            <v>Прочие операционные доходы (расходы)</v>
          </cell>
          <cell r="C124" t="str">
            <v>P05</v>
          </cell>
          <cell r="D124" t="str">
            <v>Прочие (Проч операц)</v>
          </cell>
          <cell r="E124" t="str">
            <v>07</v>
          </cell>
          <cell r="F124" t="str">
            <v>P05.07</v>
          </cell>
        </row>
        <row r="125">
          <cell r="B125" t="str">
            <v>Прочие операционные доходы (расходы)</v>
          </cell>
          <cell r="C125" t="str">
            <v>P05</v>
          </cell>
          <cell r="D125" t="str">
            <v>Расходы на исследования и разработки</v>
          </cell>
          <cell r="E125" t="str">
            <v>08</v>
          </cell>
          <cell r="F125" t="str">
            <v>P05.08</v>
          </cell>
        </row>
        <row r="126">
          <cell r="B126" t="str">
            <v>Прочие операционные доходы (расходы)</v>
          </cell>
          <cell r="C126" t="str">
            <v>P05</v>
          </cell>
          <cell r="D126" t="str">
            <v>Доход от списания кредиторской задолженности</v>
          </cell>
          <cell r="E126" t="str">
            <v>09</v>
          </cell>
          <cell r="F126" t="str">
            <v>P05.09</v>
          </cell>
        </row>
        <row r="127">
          <cell r="B127" t="str">
            <v>Прочие операционные доходы (расходы)</v>
          </cell>
          <cell r="C127" t="str">
            <v>P05</v>
          </cell>
          <cell r="D127" t="str">
            <v>Потери от обесценения запасов</v>
          </cell>
          <cell r="E127" t="str">
            <v>10</v>
          </cell>
          <cell r="F127" t="str">
            <v>P05.10</v>
          </cell>
        </row>
        <row r="128">
          <cell r="B128" t="str">
            <v>Прочие операционные доходы (расходы)</v>
          </cell>
          <cell r="C128" t="str">
            <v>P05</v>
          </cell>
          <cell r="D128" t="str">
            <v>Прочие доходы (расходы) операционной деятельности  (NEED RJU)</v>
          </cell>
          <cell r="E128" t="str">
            <v>11</v>
          </cell>
          <cell r="F128" t="str">
            <v>P05.11</v>
          </cell>
        </row>
        <row r="129">
          <cell r="B129" t="str">
            <v>Прочие операционные доходы (расходы)</v>
          </cell>
          <cell r="C129" t="str">
            <v>P05</v>
          </cell>
          <cell r="D129" t="str">
            <v>Доходы (расходы) от реализации необоротных активов</v>
          </cell>
          <cell r="E129" t="str">
            <v>12</v>
          </cell>
          <cell r="F129" t="str">
            <v>P05.12</v>
          </cell>
        </row>
        <row r="130">
          <cell r="B130" t="str">
            <v>Прочие операционные доходы (расходы)</v>
          </cell>
          <cell r="C130" t="str">
            <v>P05</v>
          </cell>
          <cell r="D130" t="str">
            <v>Доходы (расходы) от реализации имущественных комплексов</v>
          </cell>
          <cell r="E130" t="str">
            <v>13</v>
          </cell>
          <cell r="F130" t="str">
            <v>P05.13</v>
          </cell>
        </row>
        <row r="131">
          <cell r="B131" t="str">
            <v>Прочие операционные доходы (расходы)</v>
          </cell>
          <cell r="C131" t="str">
            <v>P05</v>
          </cell>
          <cell r="D131" t="str">
            <v>Недостачи и потери от порчи ценностей</v>
          </cell>
          <cell r="E131" t="str">
            <v>14</v>
          </cell>
          <cell r="F131" t="str">
            <v>P05.14</v>
          </cell>
        </row>
        <row r="132">
          <cell r="B132" t="str">
            <v>Прочие операционные доходы (расходы)</v>
          </cell>
          <cell r="C132" t="str">
            <v>P05</v>
          </cell>
          <cell r="D132" t="str">
            <v>Списание необоротных активов</v>
          </cell>
          <cell r="E132" t="str">
            <v>15</v>
          </cell>
          <cell r="F132" t="str">
            <v>P05.15</v>
          </cell>
        </row>
        <row r="133">
          <cell r="B133" t="str">
            <v>Прочие операционные доходы (расходы)</v>
          </cell>
          <cell r="C133" t="str">
            <v>P05</v>
          </cell>
          <cell r="D133" t="str">
            <v>Списание налогового кредита по НДС</v>
          </cell>
          <cell r="E133" t="str">
            <v>16</v>
          </cell>
          <cell r="F133" t="str">
            <v>P05.16</v>
          </cell>
        </row>
        <row r="134">
          <cell r="B134" t="str">
            <v>Чистая прибыль от пересчета валют</v>
          </cell>
          <cell r="C134" t="str">
            <v>P06</v>
          </cell>
          <cell r="D134" t="str">
            <v>Чистая прибыль от пересчета валют</v>
          </cell>
          <cell r="E134" t="str">
            <v>01</v>
          </cell>
          <cell r="F134" t="str">
            <v>P06.01</v>
          </cell>
        </row>
        <row r="135">
          <cell r="B135" t="str">
            <v>Доход от признания по справедливой стоимости</v>
          </cell>
          <cell r="C135" t="str">
            <v>P07</v>
          </cell>
          <cell r="D135" t="str">
            <v>Доход от признания по справедливой стоимости</v>
          </cell>
          <cell r="E135" t="str">
            <v>01</v>
          </cell>
          <cell r="F135" t="str">
            <v>P07.01</v>
          </cell>
        </row>
        <row r="136">
          <cell r="B136" t="str">
            <v>Обесценение основных средств</v>
          </cell>
          <cell r="C136" t="str">
            <v>P08</v>
          </cell>
          <cell r="D136" t="str">
            <v>Обесценение ОС</v>
          </cell>
          <cell r="E136" t="str">
            <v>01</v>
          </cell>
          <cell r="F136" t="str">
            <v>P08.01</v>
          </cell>
        </row>
        <row r="137">
          <cell r="B137" t="str">
            <v>Прочие доходы (расходы)</v>
          </cell>
          <cell r="C137" t="str">
            <v>P09</v>
          </cell>
          <cell r="D137" t="str">
            <v>Прочие доходы (расходы)</v>
          </cell>
          <cell r="E137" t="str">
            <v>01</v>
          </cell>
          <cell r="F137" t="str">
            <v>P09.01</v>
          </cell>
        </row>
        <row r="138">
          <cell r="B138" t="str">
            <v>Прочие доходы (расходы)</v>
          </cell>
          <cell r="C138" t="str">
            <v>P09</v>
          </cell>
          <cell r="D138" t="str">
            <v>Доходы (расходы) от участия в капитале</v>
          </cell>
          <cell r="E138" t="str">
            <v>02</v>
          </cell>
          <cell r="F138" t="str">
            <v>P09.02</v>
          </cell>
        </row>
        <row r="139">
          <cell r="B139" t="str">
            <v>Финансовые доходы</v>
          </cell>
          <cell r="C139" t="str">
            <v>P10</v>
          </cell>
          <cell r="D139" t="str">
            <v>Финансовые доходы</v>
          </cell>
          <cell r="E139" t="str">
            <v>01</v>
          </cell>
          <cell r="F139" t="str">
            <v>P10.01</v>
          </cell>
        </row>
        <row r="140">
          <cell r="B140" t="str">
            <v>Финансовые расходы</v>
          </cell>
          <cell r="C140" t="str">
            <v>P11</v>
          </cell>
          <cell r="D140" t="str">
            <v>Финансовые расходы (NEED RJU)</v>
          </cell>
          <cell r="E140" t="str">
            <v>01</v>
          </cell>
          <cell r="F140" t="str">
            <v>P11.01</v>
          </cell>
        </row>
        <row r="141">
          <cell r="B141" t="str">
            <v>Финансовые расходы</v>
          </cell>
          <cell r="C141" t="str">
            <v>P11</v>
          </cell>
          <cell r="D141" t="str">
            <v>Проценты по кредитам и заимствованиям</v>
          </cell>
          <cell r="E141" t="str">
            <v>02</v>
          </cell>
          <cell r="F141" t="str">
            <v>P11.02</v>
          </cell>
        </row>
        <row r="142">
          <cell r="B142" t="str">
            <v>Финансовые расходы</v>
          </cell>
          <cell r="C142" t="str">
            <v>P11</v>
          </cell>
          <cell r="D142" t="str">
            <v>Другие расходы</v>
          </cell>
          <cell r="E142" t="str">
            <v>03</v>
          </cell>
          <cell r="F142" t="str">
            <v>P11.03</v>
          </cell>
        </row>
        <row r="143">
          <cell r="B143" t="str">
            <v>Превышение приобретенных чистых активов над суммой их оплаты</v>
          </cell>
          <cell r="C143" t="str">
            <v>P12</v>
          </cell>
          <cell r="F143" t="str">
            <v>P12.</v>
          </cell>
        </row>
        <row r="144">
          <cell r="B144" t="str">
            <v>Расходы по налогу на прибыль</v>
          </cell>
          <cell r="C144" t="str">
            <v>P13</v>
          </cell>
          <cell r="D144" t="str">
            <v>Расходы по налогу на прибыль (текущие)</v>
          </cell>
          <cell r="E144" t="str">
            <v>01</v>
          </cell>
          <cell r="F144" t="str">
            <v>P13.01</v>
          </cell>
        </row>
        <row r="145">
          <cell r="B145" t="str">
            <v>Расходы по налогу на прибыль</v>
          </cell>
          <cell r="C145" t="str">
            <v>P13</v>
          </cell>
          <cell r="D145" t="str">
            <v>Расходы по налогу на прибыль (ОНА/ОНО)</v>
          </cell>
          <cell r="E145" t="str">
            <v>02</v>
          </cell>
          <cell r="F145" t="str">
            <v>P13.02</v>
          </cell>
        </row>
        <row r="146">
          <cell r="B146" t="str">
            <v>Расходы по налогу на прибыль</v>
          </cell>
          <cell r="C146" t="str">
            <v>P13</v>
          </cell>
          <cell r="D146" t="str">
            <v>Расходы по налогу на прибыль (Капитал)</v>
          </cell>
          <cell r="E146" t="str">
            <v>03</v>
          </cell>
          <cell r="F146" t="str">
            <v>P13.03</v>
          </cell>
        </row>
        <row r="147">
          <cell r="B147" t="str">
            <v>Доля неконтролирующих участников в PL</v>
          </cell>
          <cell r="C147" t="str">
            <v>P14</v>
          </cell>
          <cell r="F147" t="str">
            <v>P14.</v>
          </cell>
        </row>
        <row r="148">
          <cell r="B148" t="str">
            <v>Операции под общим контролем</v>
          </cell>
          <cell r="C148" t="str">
            <v>P16</v>
          </cell>
          <cell r="D148" t="str">
            <v>Операции под общим контролем</v>
          </cell>
          <cell r="E148" t="str">
            <v>01</v>
          </cell>
          <cell r="F148" t="str">
            <v>P16.01</v>
          </cell>
        </row>
        <row r="149">
          <cell r="B149" t="str">
            <v>Налог на прибыль от переоценки имущества</v>
          </cell>
          <cell r="F149" t="str">
            <v>.</v>
          </cell>
        </row>
        <row r="150">
          <cell r="B150" t="str">
            <v>Корректировки стоимости займа, полученного от МК</v>
          </cell>
          <cell r="F150" t="str">
            <v>.</v>
          </cell>
        </row>
        <row r="151">
          <cell r="B151" t="str">
            <v>Налог на прибыль от корректировки стоимости</v>
          </cell>
          <cell r="F151" t="str">
            <v>.</v>
          </cell>
        </row>
        <row r="152">
          <cell r="B152" t="str">
            <v>Амортизация корректировки стоимости</v>
          </cell>
          <cell r="F152" t="str">
            <v>.</v>
          </cell>
        </row>
        <row r="153">
          <cell r="B153" t="str">
            <v>Расходы от перевода в валюту представления</v>
          </cell>
          <cell r="C153" t="str">
            <v>P15</v>
          </cell>
          <cell r="D153" t="str">
            <v>Расходы от перевода в валюту представления</v>
          </cell>
          <cell r="F153" t="str">
            <v>P15.</v>
          </cell>
        </row>
      </sheetData>
      <sheetData sheetId="6"/>
      <sheetData sheetId="7"/>
      <sheetData sheetId="8"/>
      <sheetData sheetId="9">
        <row r="7">
          <cell r="G7">
            <v>54533.58</v>
          </cell>
        </row>
      </sheetData>
      <sheetData sheetId="10">
        <row r="7">
          <cell r="G7">
            <v>450978.68</v>
          </cell>
        </row>
      </sheetData>
      <sheetData sheetId="11"/>
      <sheetData sheetId="12">
        <row r="6">
          <cell r="N6">
            <v>11011.419102225314</v>
          </cell>
        </row>
      </sheetData>
      <sheetData sheetId="13">
        <row r="9">
          <cell r="F9">
            <v>253659.84008343183</v>
          </cell>
        </row>
      </sheetData>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filterMode="1">
    <tabColor rgb="FFFF0000"/>
  </sheetPr>
  <dimension ref="A1:BC1614"/>
  <sheetViews>
    <sheetView tabSelected="1" view="pageBreakPreview" zoomScale="185" zoomScaleSheetLayoutView="180" workbookViewId="0">
      <pane xSplit="4" ySplit="2" topLeftCell="E657" activePane="bottomRight" state="frozen"/>
      <selection pane="topRight" activeCell="D1" sqref="D1"/>
      <selection pane="bottomLeft" activeCell="A3" sqref="A3"/>
      <selection pane="bottomRight" activeCell="F430" sqref="F430:AB430"/>
    </sheetView>
  </sheetViews>
  <sheetFormatPr defaultColWidth="9.140625" defaultRowHeight="12.75" outlineLevelRow="2" outlineLevelCol="1"/>
  <cols>
    <col min="1" max="1" width="4.85546875" style="1" customWidth="1"/>
    <col min="2" max="2" width="1.7109375" style="1" hidden="1" customWidth="1"/>
    <col min="3" max="3" width="11" style="2" hidden="1" customWidth="1"/>
    <col min="4" max="4" width="10.42578125" style="1" hidden="1" customWidth="1"/>
    <col min="5" max="5" width="2.42578125" style="3" customWidth="1"/>
    <col min="6" max="6" width="3.85546875" style="3" customWidth="1"/>
    <col min="7" max="32" width="2.42578125" style="3" customWidth="1"/>
    <col min="33" max="33" width="3.28515625" style="3" customWidth="1"/>
    <col min="34" max="34" width="3.140625" style="3" customWidth="1"/>
    <col min="35" max="35" width="3.42578125" style="3" customWidth="1"/>
    <col min="36" max="36" width="3.28515625" style="3" customWidth="1"/>
    <col min="37" max="37" width="3.42578125" style="3" customWidth="1"/>
    <col min="38" max="38" width="3.28515625" style="3" customWidth="1"/>
    <col min="39" max="39" width="4.42578125" style="3" customWidth="1"/>
    <col min="40" max="40" width="9.42578125" style="3" customWidth="1" outlineLevel="1"/>
    <col min="41" max="48" width="9.140625" style="3" outlineLevel="1"/>
    <col min="49" max="16384" width="9.140625" style="3"/>
  </cols>
  <sheetData>
    <row r="1" spans="1:55" s="4" customFormat="1" ht="9" customHeight="1">
      <c r="A1" s="1"/>
      <c r="B1" s="1"/>
      <c r="C1" s="2"/>
      <c r="D1" s="1"/>
      <c r="E1" s="3"/>
      <c r="F1" s="3"/>
      <c r="G1" s="3"/>
      <c r="H1" s="3"/>
      <c r="I1" s="3"/>
      <c r="J1" s="3"/>
      <c r="K1" s="3"/>
      <c r="L1" s="3"/>
      <c r="M1" s="3"/>
      <c r="N1" s="3"/>
      <c r="O1" s="3"/>
      <c r="P1" s="3"/>
      <c r="Q1" s="3"/>
      <c r="R1" s="3"/>
      <c r="S1" s="3"/>
      <c r="T1" s="3"/>
      <c r="U1" s="3"/>
      <c r="V1" s="3"/>
      <c r="W1" s="3"/>
      <c r="X1" s="3"/>
      <c r="Y1" s="3"/>
      <c r="Z1" s="3"/>
      <c r="AA1" s="3"/>
      <c r="AB1" s="3"/>
      <c r="AC1" s="3"/>
      <c r="AD1" s="3"/>
      <c r="AE1" s="3"/>
      <c r="AF1" s="3"/>
      <c r="AG1" s="577"/>
      <c r="AH1" s="567"/>
      <c r="AI1" s="567"/>
      <c r="AJ1" s="567"/>
      <c r="AK1" s="567"/>
      <c r="AL1" s="3"/>
      <c r="AM1" s="271"/>
      <c r="AN1" s="578" t="s">
        <v>464</v>
      </c>
      <c r="AO1" s="578"/>
      <c r="AP1" s="578"/>
      <c r="AQ1" s="571" t="s">
        <v>465</v>
      </c>
      <c r="AR1" s="572"/>
      <c r="AS1" s="573"/>
      <c r="AT1" s="571" t="s">
        <v>466</v>
      </c>
      <c r="AU1" s="572"/>
      <c r="AV1" s="572"/>
      <c r="AW1" s="571" t="s">
        <v>467</v>
      </c>
      <c r="AX1" s="572"/>
      <c r="AY1" s="572"/>
      <c r="AZ1" s="572"/>
      <c r="BA1" s="572"/>
      <c r="BB1" s="572"/>
      <c r="BC1" s="573"/>
    </row>
    <row r="2" spans="1:55" s="4" customFormat="1" ht="6.75" customHeight="1">
      <c r="A2" s="1"/>
      <c r="B2" s="1"/>
      <c r="C2" s="2"/>
      <c r="D2" s="1"/>
      <c r="E2" s="3"/>
      <c r="F2" s="3"/>
      <c r="G2" s="3"/>
      <c r="H2" s="3"/>
      <c r="I2" s="3"/>
      <c r="J2" s="3"/>
      <c r="K2" s="3"/>
      <c r="L2" s="3"/>
      <c r="M2" s="3"/>
      <c r="N2" s="3"/>
      <c r="O2" s="3"/>
      <c r="P2" s="3"/>
      <c r="Q2" s="3"/>
      <c r="R2" s="3"/>
      <c r="S2" s="3"/>
      <c r="T2" s="3"/>
      <c r="U2" s="3"/>
      <c r="V2" s="3"/>
      <c r="W2" s="3"/>
      <c r="X2" s="3"/>
      <c r="Y2" s="3"/>
      <c r="Z2" s="3"/>
      <c r="AA2" s="3"/>
      <c r="AB2" s="3"/>
      <c r="AC2" s="3"/>
      <c r="AD2" s="3"/>
      <c r="AE2" s="3"/>
      <c r="AF2" s="3"/>
      <c r="AG2" s="577"/>
      <c r="AH2" s="567"/>
      <c r="AI2" s="567"/>
      <c r="AJ2" s="567"/>
      <c r="AK2" s="567"/>
      <c r="AL2" s="3"/>
      <c r="AM2" s="271"/>
      <c r="AN2" s="578"/>
      <c r="AO2" s="578"/>
      <c r="AP2" s="578"/>
      <c r="AQ2" s="574"/>
      <c r="AR2" s="575"/>
      <c r="AS2" s="576"/>
      <c r="AT2" s="574"/>
      <c r="AU2" s="575"/>
      <c r="AV2" s="575"/>
      <c r="AW2" s="574"/>
      <c r="AX2" s="575"/>
      <c r="AY2" s="575"/>
      <c r="AZ2" s="575"/>
      <c r="BA2" s="575"/>
      <c r="BB2" s="575"/>
      <c r="BC2" s="576"/>
    </row>
    <row r="3" spans="1:55" s="4" customFormat="1">
      <c r="A3" s="1"/>
      <c r="B3" s="1"/>
      <c r="C3" s="2"/>
      <c r="D3" s="1"/>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55" s="4" customFormat="1">
      <c r="A4" s="1"/>
      <c r="B4" s="1"/>
      <c r="C4" s="2"/>
      <c r="D4" s="1"/>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55" s="4" customFormat="1">
      <c r="A5" s="1"/>
      <c r="B5" s="1"/>
      <c r="C5" s="2"/>
      <c r="D5" s="1"/>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55" s="4" customFormat="1">
      <c r="A6" s="1"/>
      <c r="B6" s="1"/>
      <c r="C6" s="2"/>
      <c r="D6" s="1"/>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55" s="4" customFormat="1">
      <c r="A7" s="1"/>
      <c r="B7" s="1"/>
      <c r="C7" s="2"/>
      <c r="D7" s="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55" s="4" customFormat="1">
      <c r="A8" s="1"/>
      <c r="B8" s="1"/>
      <c r="C8" s="2"/>
      <c r="D8" s="1"/>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55" s="4" customFormat="1">
      <c r="A9" s="1"/>
      <c r="B9" s="1"/>
      <c r="C9" s="2"/>
      <c r="D9" s="1"/>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1:55" s="4" customFormat="1">
      <c r="A10" s="1"/>
      <c r="B10" s="1"/>
      <c r="C10" s="2"/>
      <c r="D10" s="1"/>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55" s="4" customFormat="1">
      <c r="A11" s="1"/>
      <c r="B11" s="1"/>
      <c r="C11" s="2"/>
      <c r="D11" s="1"/>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55" s="4" customFormat="1">
      <c r="A12" s="1"/>
      <c r="B12" s="1"/>
      <c r="C12" s="2"/>
      <c r="D12" s="1"/>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55" s="4" customFormat="1">
      <c r="A13" s="1"/>
      <c r="B13" s="1"/>
      <c r="C13" s="2"/>
      <c r="D13" s="1"/>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row>
    <row r="14" spans="1:55" s="4" customFormat="1">
      <c r="A14" s="1"/>
      <c r="B14" s="1"/>
      <c r="C14" s="2"/>
      <c r="D14" s="1"/>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row>
    <row r="15" spans="1:55" s="4" customFormat="1">
      <c r="A15" s="1"/>
      <c r="B15" s="1"/>
      <c r="C15" s="2"/>
      <c r="D15" s="1"/>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row>
    <row r="16" spans="1:55" s="4" customFormat="1">
      <c r="A16" s="1"/>
      <c r="B16" s="1"/>
      <c r="C16" s="2"/>
      <c r="D16" s="1"/>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row>
    <row r="17" spans="5:39">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row>
    <row r="18" spans="5:39">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row>
    <row r="19" spans="5:39">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row>
    <row r="20" spans="5:39">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5:39">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row>
    <row r="22" spans="5:39">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5:39">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row>
    <row r="24" spans="5:39">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5:39">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5:39">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5:39">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5:39" ht="12.75" customHeight="1">
      <c r="E28" s="6"/>
      <c r="F28" s="6"/>
      <c r="G28" s="6"/>
      <c r="H28" s="6"/>
      <c r="I28" s="6"/>
      <c r="J28" s="6"/>
      <c r="K28" s="6"/>
      <c r="L28" s="6"/>
      <c r="M28" s="6"/>
      <c r="N28" s="6"/>
      <c r="O28" s="6"/>
      <c r="P28" s="6"/>
      <c r="Q28" s="6"/>
      <c r="R28" s="6"/>
      <c r="S28" s="6"/>
      <c r="T28" s="6"/>
      <c r="U28" s="6"/>
      <c r="V28" s="6"/>
      <c r="W28" s="6"/>
      <c r="X28" s="6"/>
      <c r="Y28" s="584" t="s">
        <v>468</v>
      </c>
      <c r="Z28" s="584"/>
      <c r="AA28" s="584"/>
      <c r="AB28" s="584"/>
      <c r="AC28" s="584"/>
      <c r="AD28" s="584"/>
      <c r="AE28" s="584"/>
      <c r="AF28" s="584"/>
      <c r="AG28" s="584"/>
      <c r="AH28" s="584"/>
      <c r="AI28" s="584"/>
      <c r="AJ28" s="584"/>
      <c r="AK28" s="584"/>
      <c r="AL28" s="584"/>
      <c r="AM28" s="584"/>
    </row>
    <row r="29" spans="5:39" ht="12.75" customHeight="1">
      <c r="E29" s="6"/>
      <c r="F29" s="6"/>
      <c r="G29" s="6"/>
      <c r="H29" s="6"/>
      <c r="I29" s="6"/>
      <c r="J29" s="6"/>
      <c r="K29" s="6"/>
      <c r="L29" s="6"/>
      <c r="M29" s="6"/>
      <c r="N29" s="6"/>
      <c r="O29" s="6"/>
      <c r="P29" s="6"/>
      <c r="Q29" s="6"/>
      <c r="R29" s="6"/>
      <c r="S29" s="6"/>
      <c r="T29" s="6"/>
      <c r="U29" s="6"/>
      <c r="V29" s="6"/>
      <c r="W29" s="6"/>
      <c r="X29" s="6"/>
      <c r="Y29" s="584"/>
      <c r="Z29" s="584"/>
      <c r="AA29" s="584"/>
      <c r="AB29" s="584"/>
      <c r="AC29" s="584"/>
      <c r="AD29" s="584"/>
      <c r="AE29" s="584"/>
      <c r="AF29" s="584"/>
      <c r="AG29" s="584"/>
      <c r="AH29" s="584"/>
      <c r="AI29" s="584"/>
      <c r="AJ29" s="584"/>
      <c r="AK29" s="584"/>
      <c r="AL29" s="584"/>
      <c r="AM29" s="584"/>
    </row>
    <row r="30" spans="5:39">
      <c r="E30" s="6"/>
      <c r="F30" s="6"/>
      <c r="G30" s="6"/>
      <c r="H30" s="6"/>
      <c r="I30" s="6"/>
      <c r="J30" s="6"/>
      <c r="K30" s="6"/>
      <c r="L30" s="6"/>
      <c r="M30" s="6"/>
      <c r="N30" s="6"/>
      <c r="O30" s="6"/>
      <c r="P30" s="6"/>
      <c r="Q30" s="6"/>
      <c r="R30" s="6"/>
      <c r="S30" s="6"/>
      <c r="T30" s="6"/>
      <c r="U30" s="6"/>
      <c r="V30" s="6"/>
      <c r="W30" s="6"/>
      <c r="X30" s="6"/>
      <c r="Y30" s="579" t="s">
        <v>469</v>
      </c>
      <c r="Z30" s="579"/>
      <c r="AA30" s="579"/>
      <c r="AB30" s="579"/>
      <c r="AC30" s="579"/>
      <c r="AD30" s="579"/>
      <c r="AE30" s="579"/>
      <c r="AF30" s="579"/>
      <c r="AG30" s="579"/>
      <c r="AH30" s="579"/>
      <c r="AI30" s="579"/>
      <c r="AJ30" s="579"/>
      <c r="AK30" s="579"/>
      <c r="AL30" s="579"/>
      <c r="AM30" s="579"/>
    </row>
    <row r="31" spans="5:39">
      <c r="E31" s="6"/>
      <c r="F31" s="6"/>
      <c r="G31" s="6"/>
      <c r="H31" s="6"/>
      <c r="I31" s="6"/>
      <c r="J31" s="6"/>
      <c r="K31" s="6"/>
      <c r="L31" s="6"/>
      <c r="M31" s="6"/>
      <c r="N31" s="6"/>
      <c r="O31" s="6"/>
      <c r="P31" s="6"/>
      <c r="Q31" s="6"/>
      <c r="R31" s="6"/>
      <c r="S31" s="6"/>
      <c r="T31" s="6"/>
      <c r="U31" s="6"/>
      <c r="V31" s="6"/>
      <c r="W31" s="6"/>
      <c r="X31" s="6"/>
      <c r="Y31" s="579" t="s">
        <v>1638</v>
      </c>
      <c r="Z31" s="579"/>
      <c r="AA31" s="579"/>
      <c r="AB31" s="579"/>
      <c r="AC31" s="579"/>
      <c r="AD31" s="579"/>
      <c r="AE31" s="579"/>
      <c r="AF31" s="579"/>
      <c r="AG31" s="579"/>
      <c r="AH31" s="579"/>
      <c r="AI31" s="579"/>
      <c r="AJ31" s="579"/>
      <c r="AK31" s="579"/>
      <c r="AL31" s="579"/>
      <c r="AM31" s="579"/>
    </row>
    <row r="32" spans="5:39">
      <c r="E32" s="6"/>
      <c r="F32" s="6"/>
      <c r="G32" s="6"/>
      <c r="H32" s="6"/>
      <c r="I32" s="6"/>
      <c r="J32" s="6"/>
      <c r="K32" s="6"/>
      <c r="L32" s="6"/>
      <c r="M32" s="6"/>
      <c r="N32" s="6"/>
      <c r="O32" s="6"/>
      <c r="P32" s="6"/>
      <c r="Q32" s="6"/>
      <c r="R32" s="6"/>
      <c r="S32" s="6"/>
      <c r="T32" s="6"/>
      <c r="U32" s="6"/>
      <c r="V32" s="6"/>
      <c r="W32" s="6"/>
      <c r="X32" s="6"/>
      <c r="Y32" s="579"/>
      <c r="Z32" s="579"/>
      <c r="AA32" s="579"/>
      <c r="AB32" s="579"/>
      <c r="AC32" s="579"/>
      <c r="AD32" s="579"/>
      <c r="AE32" s="579"/>
      <c r="AF32" s="579"/>
      <c r="AG32" s="579"/>
      <c r="AH32" s="579"/>
      <c r="AI32" s="579"/>
      <c r="AJ32" s="579"/>
      <c r="AK32" s="579"/>
      <c r="AL32" s="579"/>
      <c r="AM32" s="579"/>
    </row>
    <row r="33" spans="5:39">
      <c r="E33" s="6"/>
      <c r="F33" s="6"/>
      <c r="G33" s="6"/>
      <c r="H33" s="6"/>
      <c r="I33" s="6"/>
      <c r="J33" s="6"/>
      <c r="K33" s="6"/>
      <c r="L33" s="6"/>
      <c r="M33" s="6"/>
      <c r="N33" s="6"/>
      <c r="O33" s="6"/>
      <c r="P33" s="6"/>
      <c r="Q33" s="6"/>
      <c r="R33" s="6"/>
      <c r="S33" s="6"/>
      <c r="T33" s="6"/>
      <c r="U33" s="6"/>
      <c r="V33" s="6"/>
      <c r="W33" s="6"/>
      <c r="X33" s="6"/>
      <c r="Y33" s="580"/>
      <c r="Z33" s="580"/>
      <c r="AA33" s="580"/>
      <c r="AB33" s="580"/>
      <c r="AC33" s="580"/>
      <c r="AD33" s="580"/>
      <c r="AE33" s="580"/>
      <c r="AF33" s="580"/>
      <c r="AG33" s="580"/>
      <c r="AH33" s="580"/>
      <c r="AI33" s="580"/>
      <c r="AJ33" s="580"/>
      <c r="AK33" s="580"/>
      <c r="AL33" s="580"/>
      <c r="AM33" s="580"/>
    </row>
    <row r="34" spans="5:39">
      <c r="E34" s="6"/>
      <c r="F34" s="6"/>
      <c r="G34" s="6"/>
      <c r="H34" s="6"/>
      <c r="I34" s="6"/>
      <c r="J34" s="6"/>
      <c r="K34" s="6"/>
      <c r="L34" s="6"/>
      <c r="M34" s="6"/>
      <c r="N34" s="6"/>
      <c r="O34" s="6"/>
      <c r="P34" s="6"/>
      <c r="Q34" s="6"/>
      <c r="R34" s="6"/>
      <c r="S34" s="6"/>
      <c r="T34" s="6"/>
      <c r="U34" s="6"/>
      <c r="V34" s="6"/>
      <c r="W34" s="6"/>
      <c r="X34" s="6"/>
      <c r="Y34" s="581"/>
      <c r="Z34" s="581"/>
      <c r="AA34" s="581"/>
      <c r="AB34" s="581"/>
      <c r="AC34" s="581"/>
      <c r="AD34" s="581"/>
      <c r="AE34" s="581"/>
      <c r="AF34" s="581"/>
      <c r="AG34" s="581"/>
      <c r="AH34" s="581"/>
      <c r="AI34" s="581"/>
      <c r="AJ34" s="581"/>
      <c r="AK34" s="581"/>
      <c r="AL34" s="581"/>
      <c r="AM34" s="581"/>
    </row>
    <row r="35" spans="5:39">
      <c r="E35" s="6"/>
      <c r="F35" s="6"/>
      <c r="G35" s="6"/>
      <c r="H35" s="6"/>
      <c r="I35" s="6"/>
      <c r="J35" s="6"/>
      <c r="K35" s="6"/>
      <c r="L35" s="6"/>
      <c r="M35" s="6"/>
      <c r="N35" s="6"/>
      <c r="O35" s="6"/>
      <c r="P35" s="6"/>
      <c r="Q35" s="6"/>
      <c r="R35" s="6"/>
      <c r="S35" s="6"/>
      <c r="T35" s="6"/>
      <c r="U35" s="6"/>
      <c r="V35" s="6"/>
      <c r="W35" s="6"/>
      <c r="X35" s="6"/>
      <c r="Y35" s="5"/>
      <c r="Z35" s="5"/>
      <c r="AA35" s="5"/>
      <c r="AB35" s="5"/>
      <c r="AC35" s="5"/>
      <c r="AD35" s="5"/>
      <c r="AE35" s="5"/>
      <c r="AF35" s="5"/>
      <c r="AG35" s="5"/>
      <c r="AH35" s="5"/>
      <c r="AI35" s="5"/>
      <c r="AJ35" s="5"/>
      <c r="AK35" s="5"/>
      <c r="AL35" s="5"/>
      <c r="AM35" s="5"/>
    </row>
    <row r="36" spans="5:39">
      <c r="E36" s="6"/>
      <c r="F36" s="6"/>
      <c r="G36" s="6"/>
      <c r="H36" s="6"/>
      <c r="I36" s="6"/>
      <c r="J36" s="6"/>
      <c r="K36" s="6"/>
      <c r="L36" s="6"/>
      <c r="M36" s="6"/>
      <c r="N36" s="6"/>
      <c r="O36" s="6"/>
      <c r="P36" s="6"/>
      <c r="Q36" s="6"/>
      <c r="R36" s="6"/>
      <c r="S36" s="6"/>
      <c r="T36" s="6"/>
      <c r="U36" s="6"/>
      <c r="V36" s="6"/>
      <c r="W36" s="6"/>
      <c r="X36" s="6"/>
      <c r="Y36" s="5"/>
      <c r="Z36" s="5"/>
      <c r="AA36" s="5"/>
      <c r="AB36" s="5"/>
      <c r="AC36" s="5"/>
      <c r="AD36" s="5"/>
      <c r="AE36" s="5"/>
      <c r="AF36" s="5"/>
      <c r="AG36" s="5"/>
      <c r="AH36" s="5"/>
      <c r="AI36" s="5"/>
      <c r="AJ36" s="5"/>
      <c r="AK36" s="5"/>
      <c r="AL36" s="5"/>
      <c r="AM36" s="5"/>
    </row>
    <row r="37" spans="5:39">
      <c r="E37" s="6"/>
      <c r="F37" s="6"/>
      <c r="G37" s="6"/>
      <c r="H37" s="6"/>
      <c r="I37" s="6"/>
      <c r="J37" s="6"/>
      <c r="K37" s="6"/>
      <c r="L37" s="6"/>
      <c r="M37" s="6"/>
      <c r="N37" s="6"/>
      <c r="O37" s="6"/>
      <c r="P37" s="6"/>
      <c r="Q37" s="6"/>
      <c r="R37" s="6"/>
      <c r="S37" s="6"/>
      <c r="T37" s="6"/>
      <c r="U37" s="6"/>
      <c r="V37" s="6"/>
      <c r="W37" s="6"/>
      <c r="X37" s="6"/>
      <c r="Y37" s="5"/>
      <c r="Z37" s="5"/>
      <c r="AA37" s="5"/>
      <c r="AB37" s="5"/>
      <c r="AC37" s="5"/>
      <c r="AD37" s="5"/>
      <c r="AE37" s="5"/>
      <c r="AF37" s="5"/>
      <c r="AG37" s="5"/>
      <c r="AH37" s="5"/>
      <c r="AI37" s="5"/>
      <c r="AJ37" s="5"/>
      <c r="AK37" s="5"/>
      <c r="AL37" s="5"/>
      <c r="AM37" s="5"/>
    </row>
    <row r="38" spans="5:39">
      <c r="E38" s="6"/>
      <c r="F38" s="6"/>
      <c r="G38" s="6"/>
      <c r="H38" s="6"/>
      <c r="I38" s="6"/>
      <c r="J38" s="6"/>
      <c r="K38" s="6"/>
      <c r="L38" s="6"/>
      <c r="M38" s="6"/>
      <c r="N38" s="6"/>
      <c r="O38" s="6"/>
      <c r="P38" s="6"/>
      <c r="Q38" s="6"/>
      <c r="R38" s="6"/>
      <c r="S38" s="6"/>
      <c r="T38" s="6"/>
      <c r="U38" s="6"/>
      <c r="V38" s="6"/>
      <c r="W38" s="6"/>
      <c r="X38" s="6"/>
      <c r="Y38" s="5"/>
      <c r="Z38" s="5"/>
      <c r="AA38" s="5"/>
      <c r="AB38" s="5"/>
      <c r="AC38" s="5"/>
      <c r="AD38" s="5"/>
      <c r="AE38" s="5"/>
      <c r="AF38" s="5"/>
      <c r="AG38" s="5"/>
      <c r="AH38" s="5"/>
      <c r="AI38" s="5"/>
      <c r="AJ38" s="5"/>
      <c r="AK38" s="5"/>
      <c r="AL38" s="5"/>
      <c r="AM38" s="5"/>
    </row>
    <row r="39" spans="5:39">
      <c r="E39" s="6"/>
      <c r="F39" s="6"/>
      <c r="G39" s="6"/>
      <c r="H39" s="6"/>
      <c r="I39" s="6"/>
      <c r="J39" s="6"/>
      <c r="K39" s="6"/>
      <c r="L39" s="6"/>
      <c r="M39" s="6"/>
      <c r="N39" s="6"/>
      <c r="O39" s="6"/>
      <c r="P39" s="6"/>
      <c r="Q39" s="6"/>
      <c r="R39" s="6"/>
      <c r="S39" s="6"/>
      <c r="T39" s="6"/>
      <c r="U39" s="6"/>
      <c r="V39" s="6"/>
      <c r="W39" s="6"/>
      <c r="X39" s="6"/>
      <c r="Y39" s="5"/>
      <c r="Z39" s="5"/>
      <c r="AA39" s="5"/>
      <c r="AB39" s="5"/>
      <c r="AC39" s="5"/>
      <c r="AD39" s="5"/>
      <c r="AE39" s="5"/>
      <c r="AF39" s="5"/>
      <c r="AG39" s="5"/>
      <c r="AH39" s="5"/>
      <c r="AI39" s="5"/>
      <c r="AJ39" s="5"/>
      <c r="AK39" s="5"/>
      <c r="AL39" s="5"/>
      <c r="AM39" s="5"/>
    </row>
    <row r="40" spans="5:39">
      <c r="E40" s="6"/>
      <c r="F40" s="6"/>
      <c r="G40" s="6"/>
      <c r="H40" s="6"/>
      <c r="I40" s="6"/>
      <c r="J40" s="6"/>
      <c r="K40" s="6"/>
      <c r="L40" s="6"/>
      <c r="M40" s="6"/>
      <c r="N40" s="6"/>
      <c r="O40" s="6"/>
      <c r="P40" s="6"/>
      <c r="Q40" s="6"/>
      <c r="R40" s="6"/>
      <c r="S40" s="6"/>
      <c r="T40" s="6"/>
      <c r="U40" s="6"/>
      <c r="V40" s="6"/>
      <c r="W40" s="6"/>
      <c r="X40" s="6"/>
      <c r="Y40" s="5"/>
      <c r="Z40" s="5"/>
      <c r="AA40" s="5"/>
      <c r="AB40" s="5"/>
      <c r="AC40" s="5"/>
      <c r="AD40" s="5"/>
      <c r="AE40" s="5"/>
      <c r="AF40" s="5"/>
      <c r="AG40" s="5"/>
      <c r="AH40" s="5"/>
      <c r="AI40" s="5"/>
      <c r="AJ40" s="5"/>
      <c r="AK40" s="5"/>
      <c r="AL40" s="5"/>
      <c r="AM40" s="5"/>
    </row>
    <row r="41" spans="5:39">
      <c r="E41" s="6"/>
      <c r="F41" s="6"/>
      <c r="G41" s="6"/>
      <c r="H41" s="6"/>
      <c r="I41" s="6"/>
      <c r="J41" s="6"/>
      <c r="K41" s="6"/>
      <c r="L41" s="6"/>
      <c r="M41" s="6"/>
      <c r="N41" s="6"/>
      <c r="O41" s="6"/>
      <c r="P41" s="6"/>
      <c r="Q41" s="6"/>
      <c r="R41" s="6"/>
      <c r="S41" s="6"/>
      <c r="T41" s="6"/>
      <c r="U41" s="6"/>
      <c r="V41" s="6"/>
      <c r="W41" s="6"/>
      <c r="X41" s="6"/>
      <c r="Y41" s="5"/>
      <c r="Z41" s="5"/>
      <c r="AA41" s="5"/>
      <c r="AB41" s="5"/>
      <c r="AC41" s="5"/>
      <c r="AD41" s="5"/>
      <c r="AE41" s="5"/>
      <c r="AF41" s="5"/>
      <c r="AG41" s="5"/>
      <c r="AH41" s="5"/>
      <c r="AI41" s="5"/>
      <c r="AJ41" s="5"/>
      <c r="AK41" s="5"/>
      <c r="AL41" s="5"/>
      <c r="AM41" s="5"/>
    </row>
    <row r="42" spans="5:39">
      <c r="E42" s="6"/>
      <c r="F42" s="6"/>
      <c r="G42" s="6"/>
      <c r="H42" s="6"/>
      <c r="I42" s="6"/>
      <c r="J42" s="6"/>
      <c r="K42" s="6"/>
      <c r="L42" s="6"/>
      <c r="M42" s="6"/>
      <c r="N42" s="6"/>
      <c r="O42" s="6"/>
      <c r="P42" s="6"/>
      <c r="Q42" s="6"/>
      <c r="R42" s="6"/>
      <c r="S42" s="6"/>
      <c r="T42" s="6"/>
      <c r="U42" s="6"/>
      <c r="V42" s="6"/>
      <c r="W42" s="6"/>
      <c r="X42" s="6"/>
      <c r="Y42" s="5"/>
      <c r="Z42" s="5"/>
      <c r="AA42" s="5"/>
      <c r="AB42" s="5"/>
      <c r="AC42" s="5"/>
      <c r="AD42" s="5"/>
      <c r="AE42" s="5"/>
      <c r="AF42" s="5"/>
      <c r="AG42" s="5"/>
      <c r="AH42" s="5"/>
      <c r="AI42" s="5"/>
      <c r="AJ42" s="5"/>
      <c r="AK42" s="5"/>
      <c r="AL42" s="5"/>
      <c r="AM42" s="5"/>
    </row>
    <row r="43" spans="5:39">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5:39">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5:39">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5:39">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5:39">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5:39">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1:39">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1:39">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1:39">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1:39">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1:39">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1:39">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1:39">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1:39">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1:39">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1:39">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1:39">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1:39">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1:39">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1:39" s="361" customFormat="1">
      <c r="A62" s="1"/>
      <c r="B62" s="1"/>
      <c r="C62" s="2"/>
      <c r="D62" s="1"/>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row>
    <row r="63" spans="1:39" s="361" customFormat="1">
      <c r="A63" s="1"/>
      <c r="B63" s="1"/>
      <c r="C63" s="2"/>
      <c r="D63" s="1"/>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row>
    <row r="64" spans="1:39" s="361" customFormat="1">
      <c r="A64" s="1"/>
      <c r="B64" s="1"/>
      <c r="C64" s="2"/>
      <c r="D64" s="1"/>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row>
    <row r="65" spans="1:39" s="361" customFormat="1">
      <c r="A65" s="1"/>
      <c r="B65" s="1"/>
      <c r="C65" s="2"/>
      <c r="D65" s="1"/>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row>
    <row r="66" spans="1:39">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1:39">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1:39">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1:39">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1:39">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1:39" ht="13.5" customHeight="1">
      <c r="E71" s="582" t="str">
        <f>UPPER($Y$28)</f>
        <v>ПТ ЛОМБАРД "МЕРКУРІЙ"</v>
      </c>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2"/>
      <c r="AL71" s="582"/>
      <c r="AM71" s="582"/>
    </row>
    <row r="72" spans="1:39">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row>
    <row r="73" spans="1:39">
      <c r="E73" s="7"/>
      <c r="F73" s="583" t="s">
        <v>1448</v>
      </c>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3"/>
      <c r="AL73" s="583"/>
      <c r="AM73" s="583"/>
    </row>
    <row r="75" spans="1:39">
      <c r="E75" s="7"/>
      <c r="F75" s="221" t="s">
        <v>470</v>
      </c>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567">
        <v>3</v>
      </c>
      <c r="AH75" s="567"/>
      <c r="AI75" s="567"/>
      <c r="AJ75" s="567"/>
      <c r="AK75" s="221"/>
      <c r="AL75" s="221"/>
      <c r="AM75" s="7"/>
    </row>
    <row r="76" spans="1:39">
      <c r="E76" s="7"/>
      <c r="F76" s="221" t="s">
        <v>471</v>
      </c>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567">
        <v>4</v>
      </c>
      <c r="AH76" s="567"/>
      <c r="AI76" s="567"/>
      <c r="AJ76" s="567"/>
      <c r="AK76" s="221"/>
      <c r="AL76" s="221"/>
      <c r="AM76" s="7"/>
    </row>
    <row r="77" spans="1:39">
      <c r="E77" s="7"/>
      <c r="F77" s="221" t="s">
        <v>472</v>
      </c>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567">
        <v>5</v>
      </c>
      <c r="AH77" s="567"/>
      <c r="AI77" s="567"/>
      <c r="AJ77" s="567"/>
      <c r="AK77" s="221"/>
      <c r="AL77" s="221"/>
      <c r="AM77" s="7"/>
    </row>
    <row r="78" spans="1:39" s="231" customFormat="1">
      <c r="A78" s="1"/>
      <c r="B78" s="1"/>
      <c r="C78" s="2"/>
      <c r="D78" s="1"/>
      <c r="E78" s="7"/>
      <c r="F78" s="221" t="s">
        <v>473</v>
      </c>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567">
        <v>6</v>
      </c>
      <c r="AH78" s="567"/>
      <c r="AI78" s="567"/>
      <c r="AJ78" s="567"/>
      <c r="AK78" s="221"/>
      <c r="AL78" s="221"/>
      <c r="AM78" s="7"/>
    </row>
    <row r="79" spans="1:39" s="231" customFormat="1">
      <c r="A79" s="1"/>
      <c r="B79" s="1"/>
      <c r="C79" s="2"/>
      <c r="D79" s="1"/>
      <c r="E79" s="7"/>
      <c r="F79" s="221" t="s">
        <v>474</v>
      </c>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567">
        <v>7</v>
      </c>
      <c r="AH79" s="567"/>
      <c r="AI79" s="567"/>
      <c r="AJ79" s="567"/>
      <c r="AK79" s="221"/>
      <c r="AL79" s="221"/>
      <c r="AM79" s="7"/>
    </row>
    <row r="80" spans="1:39">
      <c r="E80" s="7"/>
      <c r="AG80" s="567"/>
      <c r="AH80" s="567"/>
      <c r="AI80" s="567"/>
      <c r="AJ80" s="567"/>
      <c r="AM80" s="7"/>
    </row>
    <row r="81" spans="1:39">
      <c r="E81" s="7"/>
      <c r="F81" s="568" t="s">
        <v>475</v>
      </c>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68"/>
      <c r="AL81" s="568"/>
      <c r="AM81" s="7"/>
    </row>
    <row r="82" spans="1:39" s="231" customFormat="1">
      <c r="A82" s="1"/>
      <c r="B82" s="1"/>
      <c r="C82" s="2"/>
      <c r="D82" s="1"/>
      <c r="E82" s="7"/>
      <c r="F82" s="221"/>
      <c r="G82" s="221" t="s">
        <v>476</v>
      </c>
      <c r="H82" s="221"/>
      <c r="I82" s="221" t="str">
        <f>UPPER(MID(VLOOKUP(G82,F:AL,3,0),1,1))&amp;LOWER(MID(VLOOKUP(G82,F:AL,3,0),2,100))</f>
        <v>Компанія та її основна діяльність</v>
      </c>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567">
        <v>8</v>
      </c>
      <c r="AH82" s="567"/>
      <c r="AI82" s="567"/>
      <c r="AJ82" s="567"/>
      <c r="AK82" s="221"/>
      <c r="AL82" s="221"/>
      <c r="AM82" s="7"/>
    </row>
    <row r="83" spans="1:39" s="231" customFormat="1">
      <c r="A83" s="1"/>
      <c r="B83" s="1"/>
      <c r="C83" s="2"/>
      <c r="D83" s="1"/>
      <c r="E83" s="7"/>
      <c r="F83" s="221"/>
      <c r="G83" s="221" t="s">
        <v>477</v>
      </c>
      <c r="H83" s="221"/>
      <c r="I83" s="221" t="str">
        <f>UPPER(MID(VLOOKUP(G83,F:AL,3,0),1,1))&amp;LOWER(MID(VLOOKUP(G83,F:AL,3,0),2,100))</f>
        <v>Основні положення облікової політики</v>
      </c>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567">
        <v>8</v>
      </c>
      <c r="AH83" s="567"/>
      <c r="AI83" s="567"/>
      <c r="AJ83" s="567"/>
      <c r="AK83" s="221"/>
      <c r="AL83" s="221"/>
      <c r="AM83" s="7"/>
    </row>
    <row r="84" spans="1:39" s="231" customFormat="1">
      <c r="A84" s="1"/>
      <c r="B84" s="1"/>
      <c r="C84" s="2"/>
      <c r="D84" s="1"/>
      <c r="E84" s="7"/>
      <c r="F84" s="221"/>
      <c r="G84" s="221" t="s">
        <v>0</v>
      </c>
      <c r="H84" s="221"/>
      <c r="I84" s="221" t="str">
        <f>UPPER(MID(VLOOKUP(G84,F:AL,3,0),1,1))&amp;LOWER(MID(VLOOKUP(G84,F:AL,3,0),2,100))</f>
        <v>Істотні судження, оцінки та припущення</v>
      </c>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567">
        <v>16</v>
      </c>
      <c r="AH84" s="567"/>
      <c r="AI84" s="567"/>
      <c r="AJ84" s="567"/>
      <c r="AK84" s="221"/>
      <c r="AL84" s="221"/>
      <c r="AM84" s="7"/>
    </row>
    <row r="85" spans="1:39" s="231" customFormat="1">
      <c r="A85" s="1"/>
      <c r="B85" s="1"/>
      <c r="C85" s="2"/>
      <c r="D85" s="1"/>
      <c r="E85" s="7"/>
      <c r="F85" s="221"/>
      <c r="G85" s="221" t="s">
        <v>1</v>
      </c>
      <c r="H85" s="221"/>
      <c r="I85" s="370" t="s">
        <v>1458</v>
      </c>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567">
        <v>17</v>
      </c>
      <c r="AH85" s="567"/>
      <c r="AI85" s="567"/>
      <c r="AJ85" s="567"/>
      <c r="AK85" s="221"/>
      <c r="AL85" s="221"/>
      <c r="AM85" s="7"/>
    </row>
    <row r="86" spans="1:39" s="231" customFormat="1">
      <c r="A86" s="1"/>
      <c r="B86" s="1"/>
      <c r="C86" s="2"/>
      <c r="D86" s="1"/>
      <c r="E86" s="7"/>
      <c r="F86" s="221"/>
      <c r="G86" s="221" t="s">
        <v>2</v>
      </c>
      <c r="H86" s="221"/>
      <c r="I86" s="370" t="s">
        <v>90</v>
      </c>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567">
        <v>18</v>
      </c>
      <c r="AH86" s="567"/>
      <c r="AI86" s="567"/>
      <c r="AJ86" s="567"/>
      <c r="AK86" s="221"/>
      <c r="AL86" s="221"/>
      <c r="AM86" s="7"/>
    </row>
    <row r="87" spans="1:39" s="231" customFormat="1">
      <c r="A87" s="1"/>
      <c r="B87" s="1"/>
      <c r="C87" s="2"/>
      <c r="D87" s="1"/>
      <c r="E87" s="7"/>
      <c r="F87" s="221"/>
      <c r="G87" s="370" t="s">
        <v>3</v>
      </c>
      <c r="H87" s="221"/>
      <c r="I87" s="370" t="s">
        <v>92</v>
      </c>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567">
        <v>18</v>
      </c>
      <c r="AH87" s="567"/>
      <c r="AI87" s="567"/>
      <c r="AJ87" s="567"/>
      <c r="AK87" s="221"/>
      <c r="AL87" s="221"/>
      <c r="AM87" s="7"/>
    </row>
    <row r="88" spans="1:39" s="368" customFormat="1">
      <c r="A88" s="1"/>
      <c r="B88" s="1"/>
      <c r="C88" s="2"/>
      <c r="D88" s="1"/>
      <c r="E88" s="7"/>
      <c r="F88" s="370"/>
      <c r="G88" s="370" t="s">
        <v>4</v>
      </c>
      <c r="H88" s="370"/>
      <c r="I88" s="370" t="s">
        <v>95</v>
      </c>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567">
        <v>18</v>
      </c>
      <c r="AH88" s="567"/>
      <c r="AI88" s="567"/>
      <c r="AJ88" s="567"/>
      <c r="AK88" s="370"/>
      <c r="AL88" s="370"/>
      <c r="AM88" s="7"/>
    </row>
    <row r="89" spans="1:39" s="231" customFormat="1">
      <c r="A89" s="1"/>
      <c r="B89" s="1"/>
      <c r="C89" s="2"/>
      <c r="D89" s="1"/>
      <c r="E89" s="7"/>
      <c r="F89" s="221"/>
      <c r="G89" s="370" t="s">
        <v>5</v>
      </c>
      <c r="H89" s="221"/>
      <c r="I89" s="370" t="s">
        <v>1457</v>
      </c>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567">
        <v>18</v>
      </c>
      <c r="AH89" s="567"/>
      <c r="AI89" s="567"/>
      <c r="AJ89" s="567"/>
      <c r="AK89" s="221"/>
      <c r="AL89" s="221"/>
      <c r="AM89" s="7"/>
    </row>
    <row r="90" spans="1:39" s="231" customFormat="1">
      <c r="A90" s="1"/>
      <c r="B90" s="1"/>
      <c r="C90" s="2"/>
      <c r="D90" s="1"/>
      <c r="E90" s="7"/>
      <c r="F90" s="221"/>
      <c r="G90" s="370" t="s">
        <v>6</v>
      </c>
      <c r="H90" s="221"/>
      <c r="I90" s="221" t="s">
        <v>7</v>
      </c>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567">
        <v>19</v>
      </c>
      <c r="AH90" s="567"/>
      <c r="AI90" s="567"/>
      <c r="AJ90" s="567"/>
      <c r="AK90" s="221"/>
      <c r="AL90" s="221"/>
      <c r="AM90" s="7"/>
    </row>
    <row r="91" spans="1:39" s="231" customFormat="1">
      <c r="A91" s="1"/>
      <c r="B91" s="1"/>
      <c r="C91" s="2"/>
      <c r="D91" s="1"/>
      <c r="E91" s="7"/>
      <c r="F91" s="221"/>
      <c r="G91" s="370" t="s">
        <v>8</v>
      </c>
      <c r="H91" s="221"/>
      <c r="I91" s="221" t="s">
        <v>9</v>
      </c>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567">
        <v>19</v>
      </c>
      <c r="AH91" s="567"/>
      <c r="AI91" s="567"/>
      <c r="AJ91" s="567"/>
      <c r="AK91" s="221"/>
      <c r="AL91" s="221"/>
      <c r="AM91" s="7"/>
    </row>
    <row r="92" spans="1:39" s="231" customFormat="1">
      <c r="A92" s="1"/>
      <c r="B92" s="1"/>
      <c r="C92" s="2"/>
      <c r="D92" s="1"/>
      <c r="E92" s="7"/>
      <c r="F92" s="221"/>
      <c r="G92" s="370" t="s">
        <v>10</v>
      </c>
      <c r="H92" s="221"/>
      <c r="I92" s="221" t="str">
        <f>UPPER(MID(VLOOKUP(G92,F:AL,3,0),1,1))&amp;LOWER(MID(VLOOKUP(G92,F:AL,3,0),2,100))</f>
        <v>Основні засоби</v>
      </c>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567">
        <v>20</v>
      </c>
      <c r="AH92" s="567"/>
      <c r="AI92" s="567"/>
      <c r="AJ92" s="567"/>
      <c r="AK92" s="221"/>
      <c r="AL92" s="221"/>
      <c r="AM92" s="7"/>
    </row>
    <row r="93" spans="1:39" s="231" customFormat="1">
      <c r="A93" s="1"/>
      <c r="B93" s="1"/>
      <c r="C93" s="2"/>
      <c r="D93" s="1"/>
      <c r="E93" s="7"/>
      <c r="F93" s="221"/>
      <c r="G93" s="370" t="s">
        <v>11</v>
      </c>
      <c r="H93" s="221"/>
      <c r="I93" s="370" t="s">
        <v>1456</v>
      </c>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567">
        <v>20</v>
      </c>
      <c r="AH93" s="567"/>
      <c r="AI93" s="567"/>
      <c r="AJ93" s="567"/>
      <c r="AK93" s="221"/>
      <c r="AL93" s="221"/>
      <c r="AM93" s="7"/>
    </row>
    <row r="94" spans="1:39" s="231" customFormat="1">
      <c r="A94" s="1"/>
      <c r="B94" s="1"/>
      <c r="C94" s="2"/>
      <c r="D94" s="1"/>
      <c r="E94" s="7"/>
      <c r="F94" s="221"/>
      <c r="G94" s="370" t="s">
        <v>12</v>
      </c>
      <c r="H94" s="221"/>
      <c r="I94" s="221" t="s">
        <v>487</v>
      </c>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567">
        <v>20</v>
      </c>
      <c r="AH94" s="567"/>
      <c r="AI94" s="567"/>
      <c r="AJ94" s="567"/>
      <c r="AK94" s="221"/>
      <c r="AL94" s="221"/>
      <c r="AM94" s="7"/>
    </row>
    <row r="95" spans="1:39" s="231" customFormat="1">
      <c r="A95" s="1"/>
      <c r="B95" s="1"/>
      <c r="C95" s="2"/>
      <c r="D95" s="1"/>
      <c r="E95" s="7"/>
      <c r="F95" s="221"/>
      <c r="G95" s="370" t="s">
        <v>13</v>
      </c>
      <c r="H95" s="221"/>
      <c r="I95" s="221" t="s">
        <v>14</v>
      </c>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567">
        <v>21</v>
      </c>
      <c r="AH95" s="567"/>
      <c r="AI95" s="567"/>
      <c r="AJ95" s="567"/>
      <c r="AK95" s="221"/>
      <c r="AL95" s="221"/>
      <c r="AM95" s="7"/>
    </row>
    <row r="96" spans="1:39" s="231" customFormat="1">
      <c r="A96" s="1"/>
      <c r="B96" s="1"/>
      <c r="C96" s="2"/>
      <c r="D96" s="1"/>
      <c r="E96" s="7"/>
      <c r="F96" s="221"/>
      <c r="G96" s="370" t="s">
        <v>15</v>
      </c>
      <c r="H96" s="221"/>
      <c r="I96" s="370" t="s">
        <v>1450</v>
      </c>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567">
        <v>21</v>
      </c>
      <c r="AH96" s="567"/>
      <c r="AI96" s="567"/>
      <c r="AJ96" s="567"/>
      <c r="AK96" s="221"/>
      <c r="AL96" s="221"/>
      <c r="AM96" s="7"/>
    </row>
    <row r="97" spans="1:39" s="231" customFormat="1">
      <c r="A97" s="1"/>
      <c r="B97" s="1"/>
      <c r="C97" s="2"/>
      <c r="D97" s="1"/>
      <c r="E97" s="7"/>
      <c r="F97" s="221"/>
      <c r="G97" s="370" t="s">
        <v>16</v>
      </c>
      <c r="H97" s="221"/>
      <c r="I97" s="370" t="s">
        <v>1455</v>
      </c>
      <c r="J97" s="370"/>
      <c r="K97" s="370"/>
      <c r="L97" s="370"/>
      <c r="M97" s="370"/>
      <c r="N97" s="370"/>
      <c r="O97" s="370"/>
      <c r="P97" s="370"/>
      <c r="Q97" s="370"/>
      <c r="R97" s="370"/>
      <c r="S97" s="221"/>
      <c r="T97" s="221"/>
      <c r="U97" s="221"/>
      <c r="V97" s="221"/>
      <c r="W97" s="221"/>
      <c r="X97" s="221"/>
      <c r="Y97" s="221"/>
      <c r="Z97" s="221"/>
      <c r="AA97" s="221"/>
      <c r="AB97" s="221"/>
      <c r="AC97" s="221"/>
      <c r="AD97" s="221"/>
      <c r="AE97" s="221"/>
      <c r="AF97" s="221"/>
      <c r="AG97" s="567">
        <v>21</v>
      </c>
      <c r="AH97" s="567"/>
      <c r="AI97" s="567"/>
      <c r="AJ97" s="567"/>
      <c r="AK97" s="221"/>
      <c r="AL97" s="221"/>
      <c r="AM97" s="7"/>
    </row>
    <row r="98" spans="1:39" s="368" customFormat="1">
      <c r="A98" s="1"/>
      <c r="B98" s="1"/>
      <c r="C98" s="2"/>
      <c r="D98" s="1"/>
      <c r="E98" s="7"/>
      <c r="F98" s="370"/>
      <c r="G98" s="370" t="s">
        <v>17</v>
      </c>
      <c r="H98" s="370"/>
      <c r="I98" s="370" t="s">
        <v>1451</v>
      </c>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567">
        <v>21</v>
      </c>
      <c r="AH98" s="567"/>
      <c r="AI98" s="567"/>
      <c r="AJ98" s="567"/>
      <c r="AK98" s="370"/>
      <c r="AL98" s="370"/>
      <c r="AM98" s="7"/>
    </row>
    <row r="99" spans="1:39" s="231" customFormat="1">
      <c r="A99" s="1"/>
      <c r="B99" s="1"/>
      <c r="C99" s="2"/>
      <c r="D99" s="1"/>
      <c r="E99" s="7"/>
      <c r="F99" s="221"/>
      <c r="G99" s="370" t="s">
        <v>19</v>
      </c>
      <c r="H99" s="221"/>
      <c r="I99" s="221" t="s">
        <v>18</v>
      </c>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567">
        <v>21</v>
      </c>
      <c r="AH99" s="567"/>
      <c r="AI99" s="567"/>
      <c r="AJ99" s="567"/>
      <c r="AK99" s="221"/>
      <c r="AL99" s="221"/>
      <c r="AM99" s="7"/>
    </row>
    <row r="100" spans="1:39" s="231" customFormat="1">
      <c r="A100" s="1"/>
      <c r="B100" s="1"/>
      <c r="C100" s="2"/>
      <c r="D100" s="1"/>
      <c r="E100" s="7"/>
      <c r="F100" s="221"/>
      <c r="G100" s="370" t="s">
        <v>21</v>
      </c>
      <c r="H100" s="221"/>
      <c r="I100" s="221" t="s">
        <v>20</v>
      </c>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567">
        <v>22</v>
      </c>
      <c r="AH100" s="567"/>
      <c r="AI100" s="567"/>
      <c r="AJ100" s="567"/>
      <c r="AK100" s="221"/>
      <c r="AL100" s="221"/>
      <c r="AM100" s="7"/>
    </row>
    <row r="101" spans="1:39" s="231" customFormat="1">
      <c r="A101" s="1"/>
      <c r="B101" s="1"/>
      <c r="C101" s="2"/>
      <c r="D101" s="1"/>
      <c r="E101" s="7"/>
      <c r="F101" s="221"/>
      <c r="G101" s="370" t="s">
        <v>23</v>
      </c>
      <c r="H101" s="221"/>
      <c r="I101" s="221" t="s">
        <v>22</v>
      </c>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567">
        <v>22</v>
      </c>
      <c r="AH101" s="567"/>
      <c r="AI101" s="567"/>
      <c r="AJ101" s="567"/>
      <c r="AK101" s="221"/>
      <c r="AL101" s="221"/>
      <c r="AM101" s="7"/>
    </row>
    <row r="102" spans="1:39" s="231" customFormat="1">
      <c r="A102" s="1"/>
      <c r="B102" s="1"/>
      <c r="C102" s="2"/>
      <c r="D102" s="1"/>
      <c r="E102" s="7"/>
      <c r="F102" s="221"/>
      <c r="G102" s="370" t="s">
        <v>1454</v>
      </c>
      <c r="H102" s="221"/>
      <c r="I102" s="370" t="s">
        <v>1452</v>
      </c>
      <c r="J102" s="370"/>
      <c r="K102" s="370"/>
      <c r="L102" s="370"/>
      <c r="M102" s="370"/>
      <c r="N102" s="370"/>
      <c r="O102" s="370"/>
      <c r="P102" s="370"/>
      <c r="Q102" s="370"/>
      <c r="R102" s="370"/>
      <c r="S102" s="370"/>
      <c r="T102" s="370"/>
      <c r="U102" s="370"/>
      <c r="V102" s="370"/>
      <c r="W102" s="370"/>
      <c r="X102" s="370"/>
      <c r="Y102" s="221"/>
      <c r="Z102" s="221"/>
      <c r="AA102" s="221"/>
      <c r="AB102" s="221"/>
      <c r="AC102" s="221"/>
      <c r="AD102" s="221"/>
      <c r="AE102" s="221"/>
      <c r="AF102" s="221"/>
      <c r="AG102" s="567">
        <v>24</v>
      </c>
      <c r="AH102" s="567"/>
      <c r="AI102" s="567"/>
      <c r="AJ102" s="567"/>
      <c r="AK102" s="221"/>
      <c r="AL102" s="221"/>
      <c r="AM102" s="7"/>
    </row>
    <row r="103" spans="1:39" s="231" customFormat="1">
      <c r="A103" s="1"/>
      <c r="B103" s="1"/>
      <c r="C103" s="2"/>
      <c r="D103" s="1"/>
      <c r="E103" s="7"/>
      <c r="F103" s="221"/>
      <c r="G103" s="231">
        <v>22</v>
      </c>
      <c r="H103" s="221"/>
      <c r="I103" s="370" t="s">
        <v>1453</v>
      </c>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567">
        <v>24</v>
      </c>
      <c r="AH103" s="567"/>
      <c r="AI103" s="567"/>
      <c r="AJ103" s="567"/>
      <c r="AK103" s="221"/>
      <c r="AL103" s="221"/>
      <c r="AM103" s="7"/>
    </row>
    <row r="104" spans="1:39" s="92" customFormat="1">
      <c r="A104" s="1"/>
      <c r="B104" s="1"/>
      <c r="C104" s="2"/>
      <c r="D104" s="1"/>
      <c r="E104" s="7"/>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7"/>
    </row>
    <row r="105" spans="1:39" s="92" customFormat="1">
      <c r="A105" s="1"/>
      <c r="B105" s="1"/>
      <c r="C105" s="2"/>
      <c r="D105" s="1"/>
      <c r="E105" s="7"/>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7"/>
    </row>
    <row r="106" spans="1:39">
      <c r="E106" s="7"/>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7"/>
    </row>
    <row r="107" spans="1:39">
      <c r="E107" s="7"/>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7"/>
    </row>
    <row r="108" spans="1:39">
      <c r="E108" s="7"/>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7"/>
    </row>
    <row r="109" spans="1:39">
      <c r="E109" s="7"/>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7"/>
    </row>
    <row r="110" spans="1:39">
      <c r="E110" s="7"/>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7"/>
    </row>
    <row r="111" spans="1:39">
      <c r="E111" s="7"/>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7"/>
    </row>
    <row r="112" spans="1:39">
      <c r="E112" s="7"/>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7"/>
    </row>
    <row r="113" spans="5:39">
      <c r="E113" s="7"/>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7"/>
    </row>
    <row r="114" spans="5:39">
      <c r="E114" s="7"/>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7"/>
    </row>
    <row r="115" spans="5:39">
      <c r="E115" s="7"/>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7"/>
    </row>
    <row r="116" spans="5:39">
      <c r="E116" s="7"/>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7"/>
    </row>
    <row r="117" spans="5:39">
      <c r="E117" s="7"/>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7"/>
    </row>
    <row r="118" spans="5:39">
      <c r="E118" s="7"/>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7"/>
    </row>
    <row r="119" spans="5:39">
      <c r="E119" s="7"/>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7"/>
    </row>
    <row r="120" spans="5:39">
      <c r="E120" s="7"/>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7"/>
    </row>
    <row r="121" spans="5:39">
      <c r="E121" s="7"/>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7"/>
    </row>
    <row r="122" spans="5:39">
      <c r="E122" s="7"/>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7"/>
    </row>
    <row r="123" spans="5:39">
      <c r="E123" s="7"/>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7"/>
    </row>
    <row r="124" spans="5:39">
      <c r="E124" s="7"/>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7"/>
    </row>
    <row r="125" spans="5:39" ht="11.25" customHeight="1">
      <c r="E125" s="7"/>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7"/>
    </row>
    <row r="126" spans="5:39">
      <c r="E126" s="7"/>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7"/>
    </row>
    <row r="127" spans="5:39">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row>
    <row r="128" spans="5:39">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row>
    <row r="129" spans="1:39" s="231" customFormat="1">
      <c r="A129" s="1"/>
      <c r="B129" s="1"/>
      <c r="C129" s="2"/>
      <c r="D129" s="1"/>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row>
    <row r="130" spans="1:39" s="231" customFormat="1">
      <c r="A130" s="1"/>
      <c r="B130" s="1"/>
      <c r="C130" s="2"/>
      <c r="D130" s="1"/>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row>
    <row r="131" spans="1:39" s="231" customFormat="1">
      <c r="A131" s="1"/>
      <c r="B131" s="1"/>
      <c r="C131" s="2"/>
      <c r="D131" s="1"/>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row>
    <row r="132" spans="1:39" s="361" customFormat="1">
      <c r="A132" s="1"/>
      <c r="B132" s="1"/>
      <c r="C132" s="2"/>
      <c r="D132" s="1"/>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row>
    <row r="133" spans="1:39" s="361" customFormat="1">
      <c r="A133" s="1"/>
      <c r="B133" s="1"/>
      <c r="C133" s="2"/>
      <c r="D133" s="1"/>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row>
    <row r="134" spans="1:39" s="361" customFormat="1">
      <c r="A134" s="1"/>
      <c r="B134" s="1"/>
      <c r="C134" s="2"/>
      <c r="D134" s="1"/>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row>
    <row r="135" spans="1:39" s="231" customFormat="1">
      <c r="A135" s="1"/>
      <c r="B135" s="1"/>
      <c r="C135" s="2"/>
      <c r="D135" s="1"/>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row>
    <row r="136" spans="1:39">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row>
    <row r="137" spans="1:39">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c r="AA137" s="377"/>
      <c r="AB137" s="377"/>
      <c r="AC137" s="377"/>
      <c r="AD137" s="377"/>
      <c r="AE137" s="377"/>
      <c r="AF137" s="377"/>
      <c r="AG137" s="377"/>
      <c r="AH137" s="378" t="s">
        <v>24</v>
      </c>
      <c r="AI137" s="606">
        <v>2</v>
      </c>
      <c r="AJ137" s="606"/>
      <c r="AK137" s="378" t="s">
        <v>24</v>
      </c>
      <c r="AL137" s="377"/>
      <c r="AM137" s="377"/>
    </row>
    <row r="138" spans="1:39" s="361" customFormat="1">
      <c r="A138" s="1"/>
      <c r="B138" s="1"/>
      <c r="C138" s="2"/>
      <c r="D138" s="1"/>
      <c r="E138" s="366"/>
      <c r="F138" s="366"/>
      <c r="G138" s="366"/>
      <c r="H138" s="366"/>
      <c r="I138" s="366"/>
      <c r="J138" s="366"/>
      <c r="K138" s="366"/>
      <c r="L138" s="366"/>
      <c r="M138" s="366"/>
      <c r="N138" s="366"/>
      <c r="O138" s="366"/>
      <c r="P138" s="366"/>
      <c r="Q138" s="366"/>
      <c r="R138" s="366"/>
      <c r="S138" s="366"/>
      <c r="T138" s="366"/>
      <c r="U138" s="366"/>
      <c r="V138" s="366"/>
      <c r="W138" s="366"/>
      <c r="X138" s="366"/>
      <c r="Y138" s="366"/>
      <c r="Z138" s="366"/>
      <c r="AA138" s="366"/>
      <c r="AB138" s="366"/>
      <c r="AC138" s="366"/>
      <c r="AD138" s="366"/>
      <c r="AE138" s="366"/>
      <c r="AF138" s="366"/>
      <c r="AG138" s="366"/>
      <c r="AH138" s="362"/>
      <c r="AI138" s="365"/>
      <c r="AJ138" s="365"/>
      <c r="AK138" s="362"/>
      <c r="AL138" s="366"/>
    </row>
    <row r="139" spans="1:39" s="382" customFormat="1">
      <c r="A139" s="1"/>
      <c r="B139" s="1"/>
      <c r="C139" s="2"/>
      <c r="D139" s="1"/>
      <c r="E139" s="387"/>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3"/>
      <c r="AI139" s="380"/>
      <c r="AJ139" s="380"/>
      <c r="AK139" s="383"/>
      <c r="AL139" s="387"/>
    </row>
    <row r="140" spans="1:39" s="361" customFormat="1">
      <c r="A140" s="1"/>
      <c r="B140" s="1"/>
      <c r="C140" s="2"/>
      <c r="D140" s="1"/>
      <c r="E140" s="366"/>
      <c r="F140" s="366"/>
      <c r="G140" s="366"/>
      <c r="H140" s="366"/>
      <c r="I140" s="366"/>
      <c r="J140" s="366"/>
      <c r="K140" s="366"/>
      <c r="L140" s="366"/>
      <c r="M140" s="366"/>
      <c r="N140" s="366"/>
      <c r="O140" s="366"/>
      <c r="P140" s="366"/>
      <c r="Q140" s="366"/>
      <c r="R140" s="366"/>
      <c r="S140" s="366"/>
      <c r="T140" s="366"/>
      <c r="U140" s="366"/>
      <c r="V140" s="366"/>
      <c r="W140" s="366"/>
      <c r="X140" s="366"/>
      <c r="Y140" s="366"/>
      <c r="Z140" s="366"/>
      <c r="AA140" s="366"/>
      <c r="AB140" s="366"/>
      <c r="AC140" s="366"/>
      <c r="AD140" s="366"/>
      <c r="AE140" s="366"/>
      <c r="AF140" s="366"/>
      <c r="AG140" s="366"/>
      <c r="AH140" s="362"/>
      <c r="AI140" s="365"/>
      <c r="AJ140" s="365"/>
      <c r="AK140" s="362"/>
      <c r="AL140" s="366"/>
    </row>
    <row r="141" spans="1:39" s="231" customFormat="1">
      <c r="A141" s="1"/>
      <c r="B141" s="1"/>
      <c r="C141" s="2"/>
      <c r="D141" s="1"/>
      <c r="E141" s="265" t="str">
        <f>UPPER($Y$28)</f>
        <v>ПТ ЛОМБАРД "МЕРКУРІЙ"</v>
      </c>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row>
    <row r="142" spans="1:39" s="231" customFormat="1" ht="14.1" customHeight="1">
      <c r="A142" s="1"/>
      <c r="B142" s="1"/>
      <c r="C142" s="2"/>
      <c r="D142" s="1"/>
      <c r="E142" s="747" t="s">
        <v>1639</v>
      </c>
      <c r="F142" s="747"/>
      <c r="G142" s="747"/>
      <c r="H142" s="747"/>
      <c r="I142" s="747"/>
      <c r="J142" s="747"/>
      <c r="K142" s="747"/>
      <c r="L142" s="747"/>
      <c r="M142" s="747"/>
      <c r="N142" s="747"/>
      <c r="O142" s="747"/>
      <c r="P142" s="747"/>
      <c r="Q142" s="747"/>
      <c r="R142" s="747"/>
      <c r="S142" s="747"/>
      <c r="T142" s="747"/>
      <c r="U142" s="747"/>
      <c r="V142" s="747"/>
      <c r="W142" s="747"/>
      <c r="X142" s="747"/>
      <c r="Y142" s="747"/>
      <c r="Z142" s="747"/>
      <c r="AA142" s="747"/>
      <c r="AB142" s="747"/>
      <c r="AC142" s="747"/>
      <c r="AD142" s="747"/>
      <c r="AE142" s="747"/>
      <c r="AF142" s="747"/>
      <c r="AG142" s="747"/>
      <c r="AH142" s="747"/>
      <c r="AI142" s="747"/>
      <c r="AJ142" s="747"/>
      <c r="AK142" s="747"/>
      <c r="AL142" s="747"/>
      <c r="AM142" s="277"/>
    </row>
    <row r="143" spans="1:39" s="231" customFormat="1">
      <c r="A143" s="1"/>
      <c r="B143" s="1"/>
      <c r="C143" s="2"/>
      <c r="D143" s="1"/>
      <c r="E143" s="747"/>
      <c r="F143" s="747"/>
      <c r="G143" s="747"/>
      <c r="H143" s="747"/>
      <c r="I143" s="747"/>
      <c r="J143" s="747"/>
      <c r="K143" s="747"/>
      <c r="L143" s="747"/>
      <c r="M143" s="747"/>
      <c r="N143" s="747"/>
      <c r="O143" s="747"/>
      <c r="P143" s="747"/>
      <c r="Q143" s="747"/>
      <c r="R143" s="747"/>
      <c r="S143" s="747"/>
      <c r="T143" s="747"/>
      <c r="U143" s="747"/>
      <c r="V143" s="747"/>
      <c r="W143" s="747"/>
      <c r="X143" s="747"/>
      <c r="Y143" s="747"/>
      <c r="Z143" s="747"/>
      <c r="AA143" s="747"/>
      <c r="AB143" s="747"/>
      <c r="AC143" s="747"/>
      <c r="AD143" s="747"/>
      <c r="AE143" s="747"/>
      <c r="AF143" s="747"/>
      <c r="AG143" s="747"/>
      <c r="AH143" s="747"/>
      <c r="AI143" s="747"/>
      <c r="AJ143" s="747"/>
      <c r="AK143" s="747"/>
      <c r="AL143" s="747"/>
      <c r="AM143" s="277"/>
    </row>
    <row r="144" spans="1:39" s="231" customFormat="1">
      <c r="A144" s="1"/>
      <c r="B144" s="1"/>
      <c r="C144" s="2"/>
      <c r="D144" s="1"/>
      <c r="E144" s="748"/>
      <c r="F144" s="748"/>
      <c r="G144" s="748"/>
      <c r="H144" s="748"/>
      <c r="I144" s="748"/>
      <c r="J144" s="748"/>
      <c r="K144" s="748"/>
      <c r="L144" s="748"/>
      <c r="M144" s="748"/>
      <c r="N144" s="748"/>
      <c r="O144" s="748"/>
      <c r="P144" s="748"/>
      <c r="Q144" s="748"/>
      <c r="R144" s="748"/>
      <c r="S144" s="748"/>
      <c r="T144" s="748"/>
      <c r="U144" s="748"/>
      <c r="V144" s="748"/>
      <c r="W144" s="748"/>
      <c r="X144" s="748"/>
      <c r="Y144" s="748"/>
      <c r="Z144" s="748"/>
      <c r="AA144" s="748"/>
      <c r="AB144" s="748"/>
      <c r="AC144" s="748"/>
      <c r="AD144" s="748"/>
      <c r="AE144" s="748"/>
      <c r="AF144" s="748"/>
      <c r="AG144" s="748"/>
      <c r="AH144" s="748"/>
      <c r="AI144" s="748"/>
      <c r="AJ144" s="748"/>
      <c r="AK144" s="748"/>
      <c r="AL144" s="748"/>
      <c r="AM144" s="278"/>
    </row>
    <row r="145" spans="1:39">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row>
    <row r="146" spans="1:39" ht="12.75" customHeight="1">
      <c r="E146" s="7"/>
      <c r="F146" s="569" t="s">
        <v>1640</v>
      </c>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69"/>
      <c r="AL146" s="569"/>
      <c r="AM146" s="273"/>
    </row>
    <row r="147" spans="1:39">
      <c r="E147" s="7"/>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69"/>
      <c r="AL147" s="569"/>
      <c r="AM147" s="273"/>
    </row>
    <row r="148" spans="1:39">
      <c r="E148" s="7"/>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69"/>
      <c r="AL148" s="569"/>
      <c r="AM148" s="273"/>
    </row>
    <row r="149" spans="1:39">
      <c r="E149" s="7"/>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69"/>
      <c r="AL149" s="569"/>
      <c r="AM149" s="273"/>
    </row>
    <row r="150" spans="1:39">
      <c r="E150" s="7"/>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69"/>
      <c r="AL150" s="569"/>
      <c r="AM150" s="273"/>
    </row>
    <row r="151" spans="1:39">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row>
    <row r="152" spans="1:39" s="231" customFormat="1" ht="12.75" customHeight="1">
      <c r="A152" s="1"/>
      <c r="B152" s="1"/>
      <c r="C152" s="2"/>
      <c r="D152" s="1"/>
      <c r="E152" s="7"/>
      <c r="F152" s="569" t="s">
        <v>25</v>
      </c>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69"/>
      <c r="AL152" s="569"/>
      <c r="AM152" s="249"/>
    </row>
    <row r="153" spans="1:39">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row>
    <row r="154" spans="1:39" s="231" customFormat="1">
      <c r="A154" s="1"/>
      <c r="B154" s="1"/>
      <c r="C154" s="2"/>
      <c r="D154" s="1"/>
      <c r="E154" s="7"/>
      <c r="F154" s="279" t="s">
        <v>26</v>
      </c>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row>
    <row r="155" spans="1:39">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row>
    <row r="156" spans="1:39" s="231" customFormat="1">
      <c r="A156" s="1"/>
      <c r="B156" s="1"/>
      <c r="C156" s="2"/>
      <c r="D156" s="1"/>
      <c r="E156" s="7"/>
      <c r="F156" s="279" t="s">
        <v>27</v>
      </c>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row>
    <row r="157" spans="1:39">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row>
    <row r="158" spans="1:39" s="231" customFormat="1" ht="12.75" customHeight="1">
      <c r="A158" s="1"/>
      <c r="B158" s="1"/>
      <c r="C158" s="2"/>
      <c r="D158" s="1"/>
      <c r="E158" s="7"/>
      <c r="F158" s="274" t="s">
        <v>28</v>
      </c>
      <c r="G158" s="273"/>
      <c r="H158" s="273"/>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3"/>
      <c r="AE158" s="273"/>
      <c r="AF158" s="273"/>
      <c r="AG158" s="273"/>
      <c r="AH158" s="273"/>
      <c r="AI158" s="273"/>
      <c r="AJ158" s="273"/>
      <c r="AK158" s="273"/>
      <c r="AL158" s="273"/>
      <c r="AM158" s="273"/>
    </row>
    <row r="159" spans="1:39">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row>
    <row r="160" spans="1:39" ht="12.75" customHeight="1">
      <c r="E160" s="7"/>
      <c r="F160" s="749" t="s">
        <v>29</v>
      </c>
      <c r="G160" s="749"/>
      <c r="H160" s="749"/>
      <c r="I160" s="749"/>
      <c r="J160" s="749"/>
      <c r="K160" s="749"/>
      <c r="L160" s="749"/>
      <c r="M160" s="749"/>
      <c r="N160" s="749"/>
      <c r="O160" s="749"/>
      <c r="P160" s="749"/>
      <c r="Q160" s="749"/>
      <c r="R160" s="749"/>
      <c r="S160" s="749"/>
      <c r="T160" s="749"/>
      <c r="U160" s="749"/>
      <c r="V160" s="749"/>
      <c r="W160" s="749"/>
      <c r="X160" s="749"/>
      <c r="Y160" s="749"/>
      <c r="Z160" s="749"/>
      <c r="AA160" s="749"/>
      <c r="AB160" s="749"/>
      <c r="AC160" s="749"/>
      <c r="AD160" s="749"/>
      <c r="AE160" s="749"/>
      <c r="AF160" s="749"/>
      <c r="AG160" s="749"/>
      <c r="AH160" s="749"/>
      <c r="AI160" s="749"/>
      <c r="AJ160" s="749"/>
      <c r="AK160" s="749"/>
      <c r="AL160" s="749"/>
      <c r="AM160" s="273"/>
    </row>
    <row r="161" spans="1:39">
      <c r="E161" s="7"/>
      <c r="F161" s="749"/>
      <c r="G161" s="749"/>
      <c r="H161" s="749"/>
      <c r="I161" s="749"/>
      <c r="J161" s="749"/>
      <c r="K161" s="749"/>
      <c r="L161" s="749"/>
      <c r="M161" s="749"/>
      <c r="N161" s="749"/>
      <c r="O161" s="749"/>
      <c r="P161" s="749"/>
      <c r="Q161" s="749"/>
      <c r="R161" s="749"/>
      <c r="S161" s="749"/>
      <c r="T161" s="749"/>
      <c r="U161" s="749"/>
      <c r="V161" s="749"/>
      <c r="W161" s="749"/>
      <c r="X161" s="749"/>
      <c r="Y161" s="749"/>
      <c r="Z161" s="749"/>
      <c r="AA161" s="749"/>
      <c r="AB161" s="749"/>
      <c r="AC161" s="749"/>
      <c r="AD161" s="749"/>
      <c r="AE161" s="749"/>
      <c r="AF161" s="749"/>
      <c r="AG161" s="749"/>
      <c r="AH161" s="749"/>
      <c r="AI161" s="749"/>
      <c r="AJ161" s="749"/>
      <c r="AK161" s="749"/>
      <c r="AL161" s="749"/>
      <c r="AM161" s="273"/>
    </row>
    <row r="162" spans="1:39">
      <c r="E162" s="7"/>
      <c r="F162" s="749"/>
      <c r="G162" s="749"/>
      <c r="H162" s="749"/>
      <c r="I162" s="749"/>
      <c r="J162" s="749"/>
      <c r="K162" s="749"/>
      <c r="L162" s="749"/>
      <c r="M162" s="749"/>
      <c r="N162" s="749"/>
      <c r="O162" s="749"/>
      <c r="P162" s="749"/>
      <c r="Q162" s="749"/>
      <c r="R162" s="749"/>
      <c r="S162" s="749"/>
      <c r="T162" s="749"/>
      <c r="U162" s="749"/>
      <c r="V162" s="749"/>
      <c r="W162" s="749"/>
      <c r="X162" s="749"/>
      <c r="Y162" s="749"/>
      <c r="Z162" s="749"/>
      <c r="AA162" s="749"/>
      <c r="AB162" s="749"/>
      <c r="AC162" s="749"/>
      <c r="AD162" s="749"/>
      <c r="AE162" s="749"/>
      <c r="AF162" s="749"/>
      <c r="AG162" s="749"/>
      <c r="AH162" s="749"/>
      <c r="AI162" s="749"/>
      <c r="AJ162" s="749"/>
      <c r="AK162" s="749"/>
      <c r="AL162" s="749"/>
      <c r="AM162" s="7"/>
    </row>
    <row r="163" spans="1:39" s="231" customFormat="1" ht="14.1" customHeight="1">
      <c r="A163" s="1"/>
      <c r="B163" s="1"/>
      <c r="C163" s="2"/>
      <c r="D163" s="1"/>
      <c r="E163" s="7"/>
      <c r="F163" s="279" t="s">
        <v>30</v>
      </c>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c r="AL163" s="221"/>
      <c r="AM163" s="221"/>
    </row>
    <row r="164" spans="1:39" ht="12.75" customHeight="1">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row>
    <row r="165" spans="1:39" s="231" customFormat="1" ht="14.1" customHeight="1">
      <c r="A165" s="1"/>
      <c r="B165" s="1"/>
      <c r="C165" s="2"/>
      <c r="D165" s="1"/>
      <c r="E165" s="7"/>
      <c r="F165" s="274" t="s">
        <v>31</v>
      </c>
      <c r="G165" s="273"/>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row>
    <row r="166" spans="1:39" ht="12.75" customHeight="1">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row>
    <row r="167" spans="1:39" s="231" customFormat="1" ht="14.1" customHeight="1">
      <c r="A167" s="1"/>
      <c r="B167" s="1"/>
      <c r="C167" s="2"/>
      <c r="D167" s="1"/>
      <c r="E167" s="7"/>
      <c r="F167" s="274" t="s">
        <v>32</v>
      </c>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273"/>
      <c r="AL167" s="273"/>
      <c r="AM167" s="273"/>
    </row>
    <row r="168" spans="1:39">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row>
    <row r="169" spans="1:39" s="231" customFormat="1" ht="12.75" customHeight="1">
      <c r="A169" s="1"/>
      <c r="B169" s="1"/>
      <c r="C169" s="2"/>
      <c r="D169" s="1"/>
      <c r="E169" s="7"/>
      <c r="F169" s="274" t="s">
        <v>33</v>
      </c>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c r="AL169" s="273"/>
      <c r="AM169" s="273"/>
    </row>
    <row r="170" spans="1:39" ht="12.75" customHeight="1">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row>
    <row r="171" spans="1:39" ht="14.1" customHeight="1">
      <c r="E171" s="7"/>
      <c r="F171" s="569" t="s">
        <v>34</v>
      </c>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249"/>
      <c r="AM171" s="249"/>
    </row>
    <row r="172" spans="1:39">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row>
    <row r="173" spans="1:39" ht="12.75" customHeight="1">
      <c r="E173" s="7"/>
      <c r="F173" s="749" t="s">
        <v>35</v>
      </c>
      <c r="G173" s="749"/>
      <c r="H173" s="749"/>
      <c r="I173" s="749"/>
      <c r="J173" s="749"/>
      <c r="K173" s="749"/>
      <c r="L173" s="749"/>
      <c r="M173" s="749"/>
      <c r="N173" s="749"/>
      <c r="O173" s="749"/>
      <c r="P173" s="749"/>
      <c r="Q173" s="749"/>
      <c r="R173" s="749"/>
      <c r="S173" s="749"/>
      <c r="T173" s="749"/>
      <c r="U173" s="749"/>
      <c r="V173" s="749"/>
      <c r="W173" s="749"/>
      <c r="X173" s="749"/>
      <c r="Y173" s="749"/>
      <c r="Z173" s="749"/>
      <c r="AA173" s="749"/>
      <c r="AB173" s="749"/>
      <c r="AC173" s="749"/>
      <c r="AD173" s="749"/>
      <c r="AE173" s="749"/>
      <c r="AF173" s="749"/>
      <c r="AG173" s="749"/>
      <c r="AH173" s="749"/>
      <c r="AI173" s="749"/>
      <c r="AJ173" s="749"/>
      <c r="AK173" s="749"/>
      <c r="AL173" s="749"/>
      <c r="AM173" s="274"/>
    </row>
    <row r="174" spans="1:39" ht="12.75" customHeight="1">
      <c r="E174" s="7"/>
      <c r="F174" s="749"/>
      <c r="G174" s="749"/>
      <c r="H174" s="749"/>
      <c r="I174" s="749"/>
      <c r="J174" s="749"/>
      <c r="K174" s="749"/>
      <c r="L174" s="749"/>
      <c r="M174" s="749"/>
      <c r="N174" s="749"/>
      <c r="O174" s="749"/>
      <c r="P174" s="749"/>
      <c r="Q174" s="749"/>
      <c r="R174" s="749"/>
      <c r="S174" s="749"/>
      <c r="T174" s="749"/>
      <c r="U174" s="749"/>
      <c r="V174" s="749"/>
      <c r="W174" s="749"/>
      <c r="X174" s="749"/>
      <c r="Y174" s="749"/>
      <c r="Z174" s="749"/>
      <c r="AA174" s="749"/>
      <c r="AB174" s="749"/>
      <c r="AC174" s="749"/>
      <c r="AD174" s="749"/>
      <c r="AE174" s="749"/>
      <c r="AF174" s="749"/>
      <c r="AG174" s="749"/>
      <c r="AH174" s="749"/>
      <c r="AI174" s="749"/>
      <c r="AJ174" s="749"/>
      <c r="AK174" s="749"/>
      <c r="AL174" s="749"/>
      <c r="AM174" s="274"/>
    </row>
    <row r="175" spans="1:39">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row>
    <row r="176" spans="1:39" ht="12.75" customHeight="1">
      <c r="E176" s="7"/>
      <c r="F176" s="749" t="s">
        <v>36</v>
      </c>
      <c r="G176" s="749"/>
      <c r="H176" s="749"/>
      <c r="I176" s="749"/>
      <c r="J176" s="749"/>
      <c r="K176" s="749"/>
      <c r="L176" s="749"/>
      <c r="M176" s="749"/>
      <c r="N176" s="749"/>
      <c r="O176" s="749"/>
      <c r="P176" s="749"/>
      <c r="Q176" s="749"/>
      <c r="R176" s="749"/>
      <c r="S176" s="749"/>
      <c r="T176" s="749"/>
      <c r="U176" s="749"/>
      <c r="V176" s="749"/>
      <c r="W176" s="749"/>
      <c r="X176" s="749"/>
      <c r="Y176" s="749"/>
      <c r="Z176" s="749"/>
      <c r="AA176" s="749"/>
      <c r="AB176" s="749"/>
      <c r="AC176" s="749"/>
      <c r="AD176" s="749"/>
      <c r="AE176" s="749"/>
      <c r="AF176" s="749"/>
      <c r="AG176" s="749"/>
      <c r="AH176" s="749"/>
      <c r="AI176" s="749"/>
      <c r="AJ176" s="749"/>
      <c r="AK176" s="749"/>
      <c r="AL176" s="749"/>
      <c r="AM176" s="273"/>
    </row>
    <row r="177" spans="5:39">
      <c r="E177" s="7"/>
      <c r="F177" s="749"/>
      <c r="G177" s="749"/>
      <c r="H177" s="749"/>
      <c r="I177" s="749"/>
      <c r="J177" s="749"/>
      <c r="K177" s="749"/>
      <c r="L177" s="749"/>
      <c r="M177" s="749"/>
      <c r="N177" s="749"/>
      <c r="O177" s="749"/>
      <c r="P177" s="749"/>
      <c r="Q177" s="749"/>
      <c r="R177" s="749"/>
      <c r="S177" s="749"/>
      <c r="T177" s="749"/>
      <c r="U177" s="749"/>
      <c r="V177" s="749"/>
      <c r="W177" s="749"/>
      <c r="X177" s="749"/>
      <c r="Y177" s="749"/>
      <c r="Z177" s="749"/>
      <c r="AA177" s="749"/>
      <c r="AB177" s="749"/>
      <c r="AC177" s="749"/>
      <c r="AD177" s="749"/>
      <c r="AE177" s="749"/>
      <c r="AF177" s="749"/>
      <c r="AG177" s="749"/>
      <c r="AH177" s="749"/>
      <c r="AI177" s="749"/>
      <c r="AJ177" s="749"/>
      <c r="AK177" s="749"/>
      <c r="AL177" s="749"/>
      <c r="AM177" s="273"/>
    </row>
    <row r="178" spans="5:39" ht="12.75" customHeight="1">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row>
    <row r="179" spans="5:39" ht="14.1" customHeight="1">
      <c r="E179" s="7"/>
      <c r="F179" s="274" t="s">
        <v>37</v>
      </c>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3"/>
    </row>
    <row r="180" spans="5:39">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row>
    <row r="181" spans="5:39" ht="12.75" customHeight="1">
      <c r="E181" s="7"/>
      <c r="F181" s="274" t="s">
        <v>38</v>
      </c>
      <c r="G181" s="273"/>
      <c r="H181" s="273"/>
      <c r="I181" s="273"/>
      <c r="J181" s="273"/>
      <c r="K181" s="273"/>
      <c r="L181" s="273"/>
      <c r="M181" s="273"/>
      <c r="N181" s="273"/>
      <c r="O181" s="273"/>
      <c r="P181" s="273"/>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3"/>
    </row>
    <row r="182" spans="5:39">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row>
    <row r="183" spans="5:39" ht="12.75" customHeight="1">
      <c r="E183" s="7"/>
      <c r="F183" s="625" t="s">
        <v>1670</v>
      </c>
      <c r="G183" s="625"/>
      <c r="H183" s="625"/>
      <c r="I183" s="625"/>
      <c r="J183" s="625"/>
      <c r="K183" s="625"/>
      <c r="L183" s="625"/>
      <c r="M183" s="625"/>
      <c r="N183" s="625"/>
      <c r="O183" s="625"/>
      <c r="P183" s="625"/>
      <c r="Q183" s="625"/>
      <c r="R183" s="625"/>
      <c r="S183" s="625"/>
      <c r="T183" s="625"/>
      <c r="U183" s="625"/>
      <c r="V183" s="625"/>
      <c r="W183" s="625"/>
      <c r="X183" s="625"/>
      <c r="Y183" s="625"/>
      <c r="Z183" s="625"/>
      <c r="AA183" s="625"/>
      <c r="AB183" s="625"/>
      <c r="AC183" s="625"/>
      <c r="AD183" s="625"/>
      <c r="AE183" s="625"/>
      <c r="AF183" s="625"/>
      <c r="AG183" s="625"/>
      <c r="AH183" s="625"/>
      <c r="AI183" s="625"/>
      <c r="AJ183" s="625"/>
      <c r="AK183" s="625"/>
      <c r="AL183" s="625"/>
      <c r="AM183" s="275"/>
    </row>
    <row r="184" spans="5:39">
      <c r="E184" s="7"/>
      <c r="F184" s="625"/>
      <c r="G184" s="625"/>
      <c r="H184" s="625"/>
      <c r="I184" s="625"/>
      <c r="J184" s="625"/>
      <c r="K184" s="625"/>
      <c r="L184" s="625"/>
      <c r="M184" s="625"/>
      <c r="N184" s="625"/>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25"/>
      <c r="AL184" s="625"/>
      <c r="AM184" s="275"/>
    </row>
    <row r="185" spans="5:39">
      <c r="E185" s="7"/>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row>
    <row r="186" spans="5:39">
      <c r="E186" s="7"/>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row>
    <row r="187" spans="5:39">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row>
    <row r="188" spans="5:39">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row>
    <row r="189" spans="5:39">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row>
    <row r="190" spans="5:39">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row>
    <row r="191" spans="5:39">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row>
    <row r="192" spans="5:39">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row>
    <row r="193" spans="1:55">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row>
    <row r="194" spans="1:55">
      <c r="E194" s="7"/>
      <c r="F194" s="568" t="s">
        <v>39</v>
      </c>
      <c r="G194" s="568"/>
      <c r="H194" s="568"/>
      <c r="I194" s="568"/>
      <c r="J194" s="568"/>
      <c r="K194" s="568"/>
      <c r="L194" s="568"/>
      <c r="M194" s="568"/>
      <c r="N194" s="568"/>
      <c r="O194" s="568"/>
      <c r="P194" s="568"/>
      <c r="Q194" s="568"/>
      <c r="R194" s="568"/>
      <c r="S194" s="568"/>
      <c r="T194" s="568"/>
      <c r="U194" s="568"/>
      <c r="V194" s="568"/>
      <c r="W194" s="568"/>
      <c r="X194" s="7"/>
      <c r="Y194" s="7"/>
      <c r="Z194" s="7"/>
      <c r="AA194" s="7"/>
      <c r="AB194" s="7"/>
      <c r="AC194" s="7"/>
      <c r="AD194" s="7"/>
      <c r="AE194" s="7"/>
      <c r="AF194" s="7"/>
      <c r="AG194" s="7"/>
      <c r="AH194" s="7"/>
      <c r="AI194" s="7"/>
      <c r="AJ194" s="7"/>
      <c r="AK194" s="7"/>
      <c r="AL194" s="7"/>
      <c r="AM194" s="7"/>
    </row>
    <row r="195" spans="1:55">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row>
    <row r="196" spans="1:55">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row>
    <row r="197" spans="1:55">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row>
    <row r="198" spans="1:55">
      <c r="E198" s="7"/>
      <c r="F198" s="592"/>
      <c r="G198" s="592"/>
      <c r="H198" s="592"/>
      <c r="I198" s="592"/>
      <c r="J198" s="592"/>
      <c r="K198" s="592"/>
      <c r="L198" s="592"/>
      <c r="M198" s="592"/>
      <c r="N198" s="592"/>
      <c r="O198" s="592"/>
      <c r="P198" s="592"/>
      <c r="Q198" s="592"/>
      <c r="Z198" s="592"/>
      <c r="AA198" s="592"/>
      <c r="AB198" s="592"/>
      <c r="AC198" s="592"/>
      <c r="AD198" s="592"/>
      <c r="AE198" s="592"/>
      <c r="AF198" s="592"/>
      <c r="AG198" s="592"/>
      <c r="AH198" s="592"/>
      <c r="AI198" s="592"/>
      <c r="AJ198" s="592"/>
      <c r="AK198" s="592"/>
      <c r="AL198" s="7"/>
      <c r="AM198" s="7"/>
    </row>
    <row r="199" spans="1:55">
      <c r="E199" s="7"/>
      <c r="F199" s="588" t="s">
        <v>40</v>
      </c>
      <c r="G199" s="588"/>
      <c r="H199" s="588"/>
      <c r="I199" s="588"/>
      <c r="J199" s="588"/>
      <c r="K199" s="588"/>
      <c r="L199" s="588"/>
      <c r="M199" s="588"/>
      <c r="N199" s="588"/>
      <c r="O199" s="588"/>
      <c r="P199" s="588"/>
      <c r="Q199" s="588"/>
      <c r="Z199" s="587" t="s">
        <v>41</v>
      </c>
      <c r="AA199" s="587"/>
      <c r="AB199" s="587"/>
      <c r="AC199" s="587"/>
      <c r="AD199" s="587"/>
      <c r="AE199" s="587"/>
      <c r="AF199" s="587"/>
      <c r="AG199" s="587"/>
      <c r="AH199" s="587"/>
      <c r="AI199" s="587"/>
      <c r="AJ199" s="587"/>
      <c r="AK199" s="587"/>
      <c r="AL199" s="7"/>
      <c r="AM199" s="7"/>
    </row>
    <row r="200" spans="1:55">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row>
    <row r="201" spans="1:55">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row>
    <row r="202" spans="1:55">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row>
    <row r="203" spans="1:55">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L203" s="348"/>
      <c r="AM203" s="7"/>
    </row>
    <row r="204" spans="1:55">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377"/>
      <c r="AI204" s="377"/>
      <c r="AJ204" s="378" t="s">
        <v>24</v>
      </c>
      <c r="AK204" s="606">
        <f>AI137+1</f>
        <v>3</v>
      </c>
      <c r="AL204" s="606"/>
      <c r="AM204" s="378" t="s">
        <v>24</v>
      </c>
    </row>
    <row r="205" spans="1:55" s="361" customFormat="1">
      <c r="A205" s="1"/>
      <c r="B205" s="1"/>
      <c r="C205" s="2"/>
      <c r="D205" s="1"/>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2"/>
      <c r="AK205" s="365"/>
      <c r="AL205" s="365"/>
      <c r="AM205" s="362"/>
    </row>
    <row r="206" spans="1:55" s="231" customFormat="1">
      <c r="A206" s="1"/>
      <c r="B206" s="1"/>
      <c r="C206" s="2"/>
      <c r="D206" s="1"/>
      <c r="E206" s="265" t="str">
        <f>UPPER($Y$28)</f>
        <v>ПТ ЛОМБАРД "МЕРКУРІЙ"</v>
      </c>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4"/>
      <c r="AO206" s="4"/>
      <c r="AP206" s="4"/>
      <c r="AQ206" s="4"/>
      <c r="AR206" s="4"/>
      <c r="AS206" s="4"/>
      <c r="AT206" s="4"/>
      <c r="AU206" s="4"/>
      <c r="AV206" s="4"/>
      <c r="AW206" s="4"/>
      <c r="AX206" s="4"/>
      <c r="AY206" s="4"/>
      <c r="AZ206" s="4"/>
      <c r="BA206" s="4"/>
      <c r="BB206" s="4"/>
      <c r="BC206" s="4"/>
    </row>
    <row r="207" spans="1:55" s="231" customFormat="1">
      <c r="A207" s="1"/>
      <c r="B207" s="1"/>
      <c r="C207" s="2"/>
      <c r="D207" s="1"/>
      <c r="E207" s="269" t="str">
        <f>UPPER($F$76)</f>
        <v>ЗВІТ ПРО ФІНАНСОВЕ ПОЛОЖЕННЯ</v>
      </c>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4"/>
      <c r="AO207" s="4"/>
      <c r="AP207" s="4"/>
      <c r="AQ207" s="4"/>
      <c r="AR207" s="4"/>
      <c r="AS207" s="4"/>
      <c r="AT207" s="4"/>
      <c r="AU207" s="4"/>
      <c r="AV207" s="4"/>
      <c r="AW207" s="4"/>
      <c r="AX207" s="4"/>
      <c r="AY207" s="4"/>
      <c r="AZ207" s="4"/>
      <c r="BA207" s="4"/>
      <c r="BB207" s="4"/>
      <c r="BC207" s="4"/>
    </row>
    <row r="208" spans="1:55" s="231" customFormat="1">
      <c r="A208" s="1"/>
      <c r="B208" s="1"/>
      <c r="C208" s="2"/>
      <c r="D208" s="1"/>
      <c r="E208" s="280" t="s">
        <v>1660</v>
      </c>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c r="AL208" s="280"/>
      <c r="AM208" s="280"/>
      <c r="AN208" s="4"/>
      <c r="AO208" s="4"/>
      <c r="AP208" s="4"/>
      <c r="AQ208" s="4"/>
      <c r="AR208" s="4"/>
      <c r="AS208" s="4"/>
      <c r="AT208" s="4"/>
      <c r="AU208" s="4"/>
      <c r="AV208" s="4"/>
      <c r="AW208" s="4"/>
      <c r="AX208" s="4"/>
      <c r="AY208" s="4"/>
      <c r="AZ208" s="4"/>
      <c r="BA208" s="4"/>
      <c r="BB208" s="4"/>
      <c r="BC208" s="4"/>
    </row>
    <row r="209" spans="1:55" s="231" customFormat="1">
      <c r="A209" s="1"/>
      <c r="B209" s="1"/>
      <c r="C209" s="2"/>
      <c r="D209" s="1"/>
      <c r="E209" s="244" t="s">
        <v>42</v>
      </c>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65"/>
      <c r="AN209" s="4"/>
      <c r="AO209" s="4"/>
      <c r="AP209" s="4"/>
      <c r="AQ209" s="4"/>
      <c r="AR209" s="4"/>
      <c r="AS209" s="4"/>
      <c r="AT209" s="4"/>
      <c r="AU209" s="4"/>
      <c r="AV209" s="4"/>
      <c r="AW209" s="4"/>
      <c r="AX209" s="4"/>
      <c r="AY209" s="4"/>
      <c r="AZ209" s="4"/>
      <c r="BA209" s="4"/>
      <c r="BB209" s="4"/>
      <c r="BC209" s="4"/>
    </row>
    <row r="210" spans="1:55" s="104" customFormat="1">
      <c r="A210" s="1"/>
      <c r="B210" s="1"/>
      <c r="C210" s="2"/>
      <c r="D210" s="1"/>
      <c r="AM210" s="121"/>
      <c r="AN210" s="4"/>
      <c r="AO210" s="4"/>
      <c r="AP210" s="4"/>
      <c r="AQ210" s="4"/>
      <c r="AR210" s="4"/>
      <c r="AS210" s="4"/>
      <c r="AT210" s="4"/>
      <c r="AU210" s="4"/>
      <c r="AV210" s="4"/>
      <c r="AW210" s="4"/>
      <c r="AX210" s="4"/>
      <c r="AY210" s="4"/>
      <c r="AZ210" s="4"/>
      <c r="BA210" s="4"/>
      <c r="BB210" s="4"/>
      <c r="BC210" s="4"/>
    </row>
    <row r="211" spans="1:55" s="104" customFormat="1" ht="12.75" customHeight="1">
      <c r="A211" s="1"/>
      <c r="B211" s="1"/>
      <c r="C211" s="1"/>
      <c r="D211" s="1"/>
      <c r="W211" s="594" t="s">
        <v>43</v>
      </c>
      <c r="X211" s="594"/>
      <c r="Y211" s="594"/>
      <c r="AA211" s="596" t="s">
        <v>1637</v>
      </c>
      <c r="AB211" s="596"/>
      <c r="AC211" s="596"/>
      <c r="AD211" s="596"/>
      <c r="AE211" s="596"/>
      <c r="AG211" s="596" t="s">
        <v>1407</v>
      </c>
      <c r="AH211" s="596"/>
      <c r="AI211" s="596"/>
      <c r="AJ211" s="596"/>
      <c r="AK211" s="596"/>
      <c r="AM211" s="256"/>
      <c r="AN211" s="4"/>
      <c r="AO211" s="4"/>
      <c r="AP211" s="4"/>
      <c r="AQ211" s="4"/>
      <c r="AR211" s="4"/>
      <c r="AS211" s="4"/>
      <c r="AT211" s="4"/>
      <c r="AU211" s="4"/>
      <c r="AV211" s="4"/>
      <c r="AW211" s="4"/>
      <c r="AX211" s="4"/>
      <c r="AY211" s="4"/>
      <c r="AZ211" s="4"/>
      <c r="BA211" s="4"/>
      <c r="BB211" s="4"/>
      <c r="BC211" s="4"/>
    </row>
    <row r="212" spans="1:55" s="104" customFormat="1">
      <c r="A212" s="13"/>
      <c r="B212" s="1"/>
      <c r="C212" s="13"/>
      <c r="D212" s="1"/>
      <c r="W212" s="595"/>
      <c r="X212" s="595"/>
      <c r="Y212" s="595"/>
      <c r="AA212" s="597"/>
      <c r="AB212" s="597"/>
      <c r="AC212" s="597"/>
      <c r="AD212" s="597"/>
      <c r="AE212" s="597"/>
      <c r="AG212" s="597"/>
      <c r="AH212" s="597"/>
      <c r="AI212" s="597"/>
      <c r="AJ212" s="597"/>
      <c r="AK212" s="597"/>
      <c r="AM212" s="256"/>
      <c r="AN212" s="4"/>
      <c r="AO212" s="4"/>
      <c r="AP212" s="4"/>
      <c r="AQ212" s="4"/>
      <c r="AR212" s="4"/>
      <c r="AS212" s="4"/>
      <c r="AT212" s="4"/>
      <c r="AU212" s="4"/>
      <c r="AV212" s="4"/>
      <c r="AW212" s="4"/>
      <c r="AX212" s="4"/>
      <c r="AY212" s="4"/>
      <c r="AZ212" s="4"/>
      <c r="BA212" s="4"/>
      <c r="BB212" s="4"/>
      <c r="BC212" s="4"/>
    </row>
    <row r="213" spans="1:55" s="104" customFormat="1">
      <c r="A213" s="1"/>
      <c r="B213" s="1"/>
      <c r="C213" s="2"/>
      <c r="D213" s="1"/>
      <c r="F213" s="583" t="s">
        <v>44</v>
      </c>
      <c r="G213" s="583"/>
      <c r="H213" s="583"/>
      <c r="I213" s="583"/>
      <c r="J213" s="583"/>
      <c r="K213" s="583"/>
      <c r="L213" s="583"/>
      <c r="M213" s="583"/>
      <c r="N213" s="583"/>
      <c r="O213" s="583"/>
      <c r="P213" s="583"/>
      <c r="Q213" s="583"/>
      <c r="R213" s="583"/>
      <c r="S213" s="583"/>
      <c r="T213" s="583"/>
      <c r="U213" s="583"/>
      <c r="V213" s="583"/>
      <c r="W213" s="583"/>
      <c r="X213" s="102"/>
      <c r="Y213" s="102"/>
      <c r="Z213" s="102"/>
      <c r="AA213" s="102"/>
      <c r="AB213" s="102"/>
      <c r="AC213" s="102"/>
      <c r="AD213" s="102"/>
      <c r="AE213" s="102"/>
      <c r="AF213" s="102"/>
      <c r="AG213" s="102"/>
      <c r="AH213" s="102"/>
      <c r="AI213" s="102"/>
      <c r="AJ213" s="102"/>
      <c r="AK213" s="102"/>
      <c r="AL213" s="102"/>
      <c r="AM213" s="118"/>
      <c r="AN213" s="4"/>
      <c r="AO213" s="4"/>
      <c r="AP213" s="4"/>
      <c r="AQ213" s="4"/>
      <c r="AR213" s="4"/>
      <c r="AS213" s="4"/>
      <c r="AT213" s="4"/>
      <c r="AU213" s="4"/>
      <c r="AV213" s="4"/>
      <c r="AW213" s="4"/>
      <c r="AX213" s="4"/>
      <c r="AY213" s="4"/>
      <c r="AZ213" s="4"/>
      <c r="BA213" s="4"/>
      <c r="BB213" s="4"/>
      <c r="BC213" s="4"/>
    </row>
    <row r="214" spans="1:55" s="104" customFormat="1" ht="15">
      <c r="A214" s="1"/>
      <c r="B214" s="1"/>
      <c r="C214" s="2"/>
      <c r="D214" s="1"/>
      <c r="F214" s="591" t="s">
        <v>45</v>
      </c>
      <c r="G214" s="608"/>
      <c r="H214" s="608"/>
      <c r="I214" s="608"/>
      <c r="J214" s="608"/>
      <c r="K214" s="608"/>
      <c r="L214" s="608"/>
      <c r="M214" s="608"/>
      <c r="N214" s="608"/>
      <c r="O214" s="608"/>
      <c r="P214" s="608"/>
      <c r="Q214" s="608"/>
      <c r="R214" s="608"/>
      <c r="S214" s="608"/>
      <c r="T214" s="608"/>
      <c r="U214" s="608"/>
      <c r="V214" s="608"/>
      <c r="W214" s="587"/>
      <c r="X214" s="587"/>
      <c r="Y214" s="587"/>
      <c r="Z214" s="102"/>
      <c r="AA214" s="102"/>
      <c r="AB214" s="102"/>
      <c r="AC214" s="102"/>
      <c r="AD214" s="102"/>
      <c r="AE214" s="102"/>
      <c r="AF214" s="102"/>
      <c r="AG214" s="102"/>
      <c r="AH214" s="102"/>
      <c r="AI214" s="102"/>
      <c r="AJ214" s="102"/>
      <c r="AK214" s="102"/>
      <c r="AL214" s="102"/>
      <c r="AM214" s="118"/>
      <c r="AN214" s="4"/>
      <c r="AO214" s="4"/>
      <c r="AP214" s="4"/>
      <c r="AQ214" s="4"/>
      <c r="AR214" s="4"/>
      <c r="AS214" s="4"/>
      <c r="AT214" s="4"/>
      <c r="AU214" s="4"/>
      <c r="AV214" s="4"/>
      <c r="AW214" s="4"/>
      <c r="AX214" s="4"/>
      <c r="AY214" s="4"/>
      <c r="AZ214" s="4"/>
      <c r="BA214" s="4"/>
      <c r="BB214" s="4"/>
      <c r="BC214" s="4"/>
    </row>
    <row r="215" spans="1:55" s="104" customFormat="1" ht="15">
      <c r="A215" s="14"/>
      <c r="B215" s="1"/>
      <c r="C215" s="14"/>
      <c r="D215" s="1"/>
      <c r="F215" s="590" t="s">
        <v>46</v>
      </c>
      <c r="G215" s="609"/>
      <c r="H215" s="609"/>
      <c r="I215" s="609"/>
      <c r="J215" s="609"/>
      <c r="K215" s="609"/>
      <c r="L215" s="609"/>
      <c r="M215" s="609"/>
      <c r="N215" s="609"/>
      <c r="O215" s="609"/>
      <c r="P215" s="609"/>
      <c r="Q215" s="609"/>
      <c r="R215" s="609"/>
      <c r="S215" s="609"/>
      <c r="T215" s="609"/>
      <c r="U215" s="609"/>
      <c r="V215" s="609"/>
      <c r="W215" s="587" t="str">
        <f>MID(F1229,1,2)</f>
        <v>11</v>
      </c>
      <c r="X215" s="587"/>
      <c r="Y215" s="587"/>
      <c r="AA215" s="593">
        <f>'ОСВ в работу'!Y8/1000</f>
        <v>27.391600000000007</v>
      </c>
      <c r="AB215" s="593"/>
      <c r="AC215" s="593"/>
      <c r="AD215" s="593"/>
      <c r="AE215" s="593"/>
      <c r="AG215" s="593">
        <v>0</v>
      </c>
      <c r="AH215" s="593"/>
      <c r="AI215" s="593"/>
      <c r="AJ215" s="593"/>
      <c r="AK215" s="593"/>
      <c r="AM215" s="222"/>
      <c r="AN215" s="4" t="e">
        <f>AA215-#REF!</f>
        <v>#REF!</v>
      </c>
      <c r="AO215" s="4"/>
      <c r="AP215" s="4"/>
      <c r="AQ215" s="104" t="s">
        <v>47</v>
      </c>
      <c r="AW215" s="104" t="s">
        <v>48</v>
      </c>
      <c r="AX215" s="4"/>
      <c r="AY215" s="4"/>
      <c r="AZ215" s="4"/>
      <c r="BA215" s="4"/>
      <c r="BB215" s="4"/>
      <c r="BC215" s="4"/>
    </row>
    <row r="216" spans="1:55" s="104" customFormat="1" ht="15">
      <c r="A216" s="14"/>
      <c r="B216" s="1"/>
      <c r="C216" s="14"/>
      <c r="D216" s="1"/>
      <c r="F216" s="607" t="s">
        <v>1408</v>
      </c>
      <c r="G216" s="607"/>
      <c r="H216" s="607"/>
      <c r="I216" s="607"/>
      <c r="J216" s="607"/>
      <c r="K216" s="607"/>
      <c r="L216" s="607"/>
      <c r="M216" s="607"/>
      <c r="N216" s="607"/>
      <c r="O216" s="607"/>
      <c r="P216" s="607"/>
      <c r="Q216" s="607"/>
      <c r="R216" s="107"/>
      <c r="S216" s="107"/>
      <c r="T216" s="107"/>
      <c r="U216" s="107"/>
      <c r="V216" s="107"/>
      <c r="W216" s="119"/>
      <c r="X216" s="119"/>
      <c r="Y216" s="119"/>
      <c r="AA216" s="589">
        <f>'ОСВ в работу'!Y19/1000</f>
        <v>812.26166589102456</v>
      </c>
      <c r="AB216" s="589"/>
      <c r="AC216" s="589"/>
      <c r="AD216" s="589"/>
      <c r="AE216" s="589"/>
      <c r="AG216" s="589">
        <v>1793</v>
      </c>
      <c r="AH216" s="605"/>
      <c r="AI216" s="605"/>
      <c r="AJ216" s="605"/>
      <c r="AK216" s="605"/>
      <c r="AM216" s="103"/>
      <c r="AN216" s="4"/>
      <c r="AO216" s="4"/>
      <c r="AP216" s="4"/>
      <c r="AX216" s="4"/>
      <c r="AY216" s="4"/>
      <c r="AZ216" s="4"/>
      <c r="BA216" s="4"/>
      <c r="BB216" s="4"/>
      <c r="BC216" s="4"/>
    </row>
    <row r="217" spans="1:55" s="104" customFormat="1">
      <c r="A217" s="1"/>
      <c r="B217" s="1"/>
      <c r="C217" s="1"/>
      <c r="D217" s="1"/>
      <c r="F217" s="590"/>
      <c r="G217" s="590"/>
      <c r="H217" s="590"/>
      <c r="I217" s="590"/>
      <c r="J217" s="590"/>
      <c r="K217" s="590"/>
      <c r="L217" s="590"/>
      <c r="M217" s="590"/>
      <c r="N217" s="590"/>
      <c r="O217" s="590"/>
      <c r="P217" s="590"/>
      <c r="Q217" s="590"/>
      <c r="R217" s="590"/>
      <c r="S217" s="590"/>
      <c r="T217" s="590"/>
      <c r="U217" s="590"/>
      <c r="V217" s="590"/>
      <c r="W217" s="587"/>
      <c r="X217" s="587"/>
      <c r="Y217" s="587"/>
      <c r="AA217" s="603">
        <f>AA215+AA216</f>
        <v>839.6532658910246</v>
      </c>
      <c r="AB217" s="603"/>
      <c r="AC217" s="603"/>
      <c r="AD217" s="603"/>
      <c r="AE217" s="603"/>
      <c r="AG217" s="598">
        <f>SUBTOTAL(9,AG215:AG216)</f>
        <v>1793</v>
      </c>
      <c r="AH217" s="598"/>
      <c r="AI217" s="598"/>
      <c r="AJ217" s="598"/>
      <c r="AK217" s="598"/>
      <c r="AM217" s="240"/>
      <c r="AN217" s="4"/>
      <c r="AO217" s="4"/>
      <c r="AP217" s="4"/>
      <c r="AX217" s="4"/>
      <c r="AY217" s="4"/>
      <c r="AZ217" s="4"/>
      <c r="BA217" s="4"/>
      <c r="BB217" s="4"/>
      <c r="BC217" s="4"/>
    </row>
    <row r="218" spans="1:55" s="104" customFormat="1">
      <c r="A218" s="1"/>
      <c r="B218" s="1"/>
      <c r="C218" s="1"/>
      <c r="D218" s="1">
        <f t="shared" ref="D218:D223" si="0">ROUND(AM218,0)</f>
        <v>0</v>
      </c>
      <c r="F218" s="591" t="s">
        <v>49</v>
      </c>
      <c r="G218" s="591"/>
      <c r="H218" s="591"/>
      <c r="I218" s="591"/>
      <c r="J218" s="591"/>
      <c r="K218" s="591"/>
      <c r="L218" s="591"/>
      <c r="M218" s="591"/>
      <c r="N218" s="591"/>
      <c r="O218" s="591"/>
      <c r="P218" s="591"/>
      <c r="Q218" s="591"/>
      <c r="R218" s="591"/>
      <c r="S218" s="591"/>
      <c r="T218" s="591"/>
      <c r="U218" s="591"/>
      <c r="V218" s="591"/>
      <c r="W218" s="587"/>
      <c r="X218" s="587"/>
      <c r="Y218" s="587"/>
      <c r="Z218" s="102"/>
      <c r="AF218" s="102"/>
      <c r="AG218" s="583"/>
      <c r="AH218" s="583"/>
      <c r="AI218" s="583"/>
      <c r="AJ218" s="583"/>
      <c r="AK218" s="583"/>
      <c r="AL218" s="102"/>
      <c r="AM218" s="18"/>
      <c r="AN218" s="4"/>
      <c r="AO218" s="4"/>
      <c r="AP218" s="4"/>
      <c r="AX218" s="4"/>
      <c r="AY218" s="4"/>
      <c r="AZ218" s="4"/>
      <c r="BA218" s="4"/>
      <c r="BB218" s="4"/>
      <c r="BC218" s="4"/>
    </row>
    <row r="219" spans="1:55" ht="12.75" hidden="1" customHeight="1" outlineLevel="1">
      <c r="C219" s="1"/>
      <c r="D219" s="1">
        <f t="shared" si="0"/>
        <v>0</v>
      </c>
      <c r="F219" s="590" t="s">
        <v>50</v>
      </c>
      <c r="G219" s="590"/>
      <c r="H219" s="590"/>
      <c r="I219" s="590"/>
      <c r="J219" s="590"/>
      <c r="K219" s="590"/>
      <c r="L219" s="590"/>
      <c r="M219" s="590"/>
      <c r="N219" s="590"/>
      <c r="O219" s="590"/>
      <c r="P219" s="590"/>
      <c r="Q219" s="590"/>
      <c r="R219" s="590"/>
      <c r="S219" s="590"/>
      <c r="T219" s="590"/>
      <c r="U219" s="590"/>
      <c r="V219" s="590"/>
      <c r="W219" s="587" t="e">
        <f>MID(#REF!,1,2)</f>
        <v>#REF!</v>
      </c>
      <c r="X219" s="587"/>
      <c r="Y219" s="587"/>
      <c r="AG219" s="593"/>
      <c r="AH219" s="593"/>
      <c r="AI219" s="593"/>
      <c r="AJ219" s="593"/>
      <c r="AK219" s="593"/>
      <c r="AM219" s="272"/>
      <c r="AN219" s="4" t="e">
        <f>AA219-#REF!</f>
        <v>#REF!</v>
      </c>
      <c r="AO219" s="4" t="e">
        <f>AG219-#REF!</f>
        <v>#REF!</v>
      </c>
      <c r="AP219" s="4" t="e">
        <f>AM219-#REF!</f>
        <v>#REF!</v>
      </c>
      <c r="AQ219" s="3" t="s">
        <v>51</v>
      </c>
      <c r="AX219" s="4"/>
      <c r="AY219" s="4"/>
      <c r="AZ219" s="4"/>
      <c r="BA219" s="4"/>
      <c r="BB219" s="4"/>
      <c r="BC219" s="4"/>
    </row>
    <row r="220" spans="1:55" s="104" customFormat="1" collapsed="1">
      <c r="A220" s="14"/>
      <c r="B220" s="1"/>
      <c r="C220" s="14"/>
      <c r="D220" s="1">
        <f t="shared" si="0"/>
        <v>0</v>
      </c>
      <c r="F220" s="590" t="s">
        <v>52</v>
      </c>
      <c r="G220" s="590"/>
      <c r="H220" s="590"/>
      <c r="I220" s="590"/>
      <c r="J220" s="590"/>
      <c r="K220" s="590"/>
      <c r="L220" s="590"/>
      <c r="M220" s="590"/>
      <c r="N220" s="590"/>
      <c r="O220" s="590"/>
      <c r="P220" s="590"/>
      <c r="Q220" s="590"/>
      <c r="R220" s="590"/>
      <c r="S220" s="590"/>
      <c r="T220" s="590"/>
      <c r="U220" s="590"/>
      <c r="V220" s="590"/>
      <c r="W220" s="587"/>
      <c r="X220" s="587"/>
      <c r="Y220" s="587"/>
      <c r="AA220" s="593"/>
      <c r="AB220" s="593"/>
      <c r="AC220" s="593"/>
      <c r="AD220" s="593"/>
      <c r="AE220" s="593"/>
      <c r="AG220" s="593"/>
      <c r="AH220" s="593"/>
      <c r="AI220" s="593"/>
      <c r="AJ220" s="593"/>
      <c r="AK220" s="593"/>
      <c r="AM220" s="222"/>
      <c r="AN220" s="4" t="e">
        <f>AA220-#REF!</f>
        <v>#REF!</v>
      </c>
      <c r="AO220" s="4"/>
      <c r="AP220" s="4"/>
      <c r="AQ220" s="104" t="s">
        <v>53</v>
      </c>
      <c r="AX220" s="4"/>
      <c r="AY220" s="4"/>
      <c r="AZ220" s="4"/>
      <c r="BA220" s="4"/>
      <c r="BB220" s="4"/>
      <c r="BC220" s="4"/>
    </row>
    <row r="221" spans="1:55" s="104" customFormat="1">
      <c r="A221" s="14"/>
      <c r="B221" s="1"/>
      <c r="C221" s="14"/>
      <c r="D221" s="1"/>
      <c r="F221" s="607" t="s">
        <v>54</v>
      </c>
      <c r="G221" s="607"/>
      <c r="H221" s="607"/>
      <c r="I221" s="607"/>
      <c r="J221" s="607"/>
      <c r="K221" s="607"/>
      <c r="L221" s="607"/>
      <c r="M221" s="607"/>
      <c r="N221" s="607"/>
      <c r="O221" s="607"/>
      <c r="P221" s="607"/>
      <c r="Q221" s="607"/>
      <c r="R221" s="607"/>
      <c r="S221" s="607"/>
      <c r="T221" s="607"/>
      <c r="U221" s="607"/>
      <c r="V221" s="607"/>
      <c r="W221" s="119"/>
      <c r="X221" s="119"/>
      <c r="Y221" s="119"/>
      <c r="AA221" s="593"/>
      <c r="AB221" s="593"/>
      <c r="AC221" s="593"/>
      <c r="AD221" s="593"/>
      <c r="AE221" s="593"/>
      <c r="AG221" s="106"/>
      <c r="AH221" s="106"/>
      <c r="AI221" s="106"/>
      <c r="AJ221" s="602"/>
      <c r="AK221" s="602"/>
      <c r="AM221" s="222"/>
      <c r="AN221" s="4"/>
      <c r="AO221" s="4"/>
      <c r="AP221" s="4"/>
      <c r="AX221" s="4"/>
      <c r="AY221" s="4"/>
      <c r="AZ221" s="4"/>
      <c r="BA221" s="4"/>
      <c r="BB221" s="4"/>
      <c r="BC221" s="4"/>
    </row>
    <row r="222" spans="1:55" s="104" customFormat="1">
      <c r="A222" s="16"/>
      <c r="B222" s="16"/>
      <c r="C222" s="17"/>
      <c r="D222" s="1">
        <f t="shared" si="0"/>
        <v>0</v>
      </c>
      <c r="F222" s="590" t="s">
        <v>55</v>
      </c>
      <c r="G222" s="590"/>
      <c r="H222" s="590"/>
      <c r="I222" s="590"/>
      <c r="J222" s="590"/>
      <c r="K222" s="590"/>
      <c r="L222" s="590"/>
      <c r="M222" s="590"/>
      <c r="N222" s="590"/>
      <c r="O222" s="590"/>
      <c r="P222" s="590"/>
      <c r="Q222" s="590"/>
      <c r="R222" s="590"/>
      <c r="S222" s="590"/>
      <c r="T222" s="590"/>
      <c r="U222" s="590"/>
      <c r="V222" s="590"/>
      <c r="W222" s="587"/>
      <c r="X222" s="587"/>
      <c r="Y222" s="587"/>
      <c r="AA222" s="593">
        <f>'ОСВ в работу'!Y41/1000</f>
        <v>4859.34022</v>
      </c>
      <c r="AB222" s="593"/>
      <c r="AC222" s="593"/>
      <c r="AD222" s="593"/>
      <c r="AE222" s="593"/>
      <c r="AG222" s="593">
        <v>2936</v>
      </c>
      <c r="AH222" s="593"/>
      <c r="AI222" s="593"/>
      <c r="AJ222" s="593"/>
      <c r="AK222" s="593"/>
      <c r="AM222" s="222"/>
      <c r="AN222" s="4">
        <f>AA222-AA1299</f>
        <v>0.34022000000004482</v>
      </c>
      <c r="AO222" s="4"/>
      <c r="AP222" s="4"/>
      <c r="AQ222" s="104" t="s">
        <v>56</v>
      </c>
      <c r="AR222" s="104" t="s">
        <v>57</v>
      </c>
      <c r="AS222" s="104" t="s">
        <v>58</v>
      </c>
      <c r="AX222" s="4"/>
      <c r="AY222" s="4"/>
      <c r="AZ222" s="4"/>
      <c r="BA222" s="4"/>
      <c r="BB222" s="4"/>
      <c r="BC222" s="4"/>
    </row>
    <row r="223" spans="1:55" s="104" customFormat="1">
      <c r="A223" s="14"/>
      <c r="B223" s="1"/>
      <c r="C223" s="14"/>
      <c r="D223" s="1">
        <f t="shared" si="0"/>
        <v>0</v>
      </c>
      <c r="F223" s="590" t="s">
        <v>59</v>
      </c>
      <c r="G223" s="590"/>
      <c r="H223" s="590"/>
      <c r="I223" s="590"/>
      <c r="J223" s="590"/>
      <c r="K223" s="590"/>
      <c r="L223" s="590"/>
      <c r="M223" s="590"/>
      <c r="N223" s="590"/>
      <c r="O223" s="590"/>
      <c r="P223" s="590"/>
      <c r="Q223" s="590"/>
      <c r="R223" s="590"/>
      <c r="S223" s="590"/>
      <c r="T223" s="590"/>
      <c r="U223" s="590"/>
      <c r="V223" s="590"/>
      <c r="W223" s="587"/>
      <c r="X223" s="587"/>
      <c r="Y223" s="587"/>
      <c r="AA223" s="593">
        <f>'ОСВ в работу'!Y29/1000</f>
        <v>170.14367999999999</v>
      </c>
      <c r="AB223" s="593"/>
      <c r="AC223" s="593"/>
      <c r="AD223" s="593"/>
      <c r="AE223" s="593"/>
      <c r="AG223" s="593">
        <v>137</v>
      </c>
      <c r="AH223" s="593"/>
      <c r="AI223" s="593"/>
      <c r="AJ223" s="593"/>
      <c r="AK223" s="593"/>
      <c r="AM223" s="222"/>
      <c r="AN223" s="4">
        <f>AA223-AA1309</f>
        <v>0.14367999999998915</v>
      </c>
      <c r="AO223" s="4"/>
      <c r="AP223" s="4"/>
      <c r="AQ223" s="104" t="s">
        <v>60</v>
      </c>
      <c r="AX223" s="4"/>
      <c r="AY223" s="4"/>
      <c r="AZ223" s="4"/>
      <c r="BA223" s="4"/>
      <c r="BB223" s="4"/>
      <c r="BC223" s="4"/>
    </row>
    <row r="224" spans="1:55" s="104" customFormat="1">
      <c r="A224" s="1"/>
      <c r="B224" s="1"/>
      <c r="C224" s="2"/>
      <c r="D224" s="1"/>
      <c r="E224" s="108"/>
      <c r="F224" s="108"/>
      <c r="G224" s="108"/>
      <c r="H224" s="108"/>
      <c r="I224" s="108"/>
      <c r="J224" s="108"/>
      <c r="K224" s="108"/>
      <c r="L224" s="108"/>
      <c r="M224" s="108"/>
      <c r="N224" s="108"/>
      <c r="O224" s="108"/>
      <c r="P224" s="108"/>
      <c r="Q224" s="108"/>
      <c r="R224" s="108"/>
      <c r="S224" s="108"/>
      <c r="T224" s="108"/>
      <c r="U224" s="108"/>
      <c r="V224" s="18"/>
      <c r="W224" s="18"/>
      <c r="X224" s="18"/>
      <c r="Y224" s="108"/>
      <c r="AA224" s="598">
        <f>SUBTOTAL(9,AA219:AE223)</f>
        <v>5029.4839000000002</v>
      </c>
      <c r="AB224" s="598"/>
      <c r="AC224" s="598"/>
      <c r="AD224" s="598"/>
      <c r="AE224" s="598"/>
      <c r="AG224" s="598">
        <f>SUBTOTAL(9,AG219:AK223)</f>
        <v>3073</v>
      </c>
      <c r="AH224" s="598"/>
      <c r="AI224" s="598"/>
      <c r="AJ224" s="598"/>
      <c r="AK224" s="598"/>
      <c r="AM224" s="240"/>
      <c r="AN224" s="4"/>
      <c r="AO224" s="4"/>
      <c r="AP224" s="4"/>
      <c r="AX224" s="4"/>
      <c r="AY224" s="4"/>
      <c r="AZ224" s="4"/>
      <c r="BA224" s="4"/>
      <c r="BB224" s="4"/>
      <c r="BC224" s="4"/>
    </row>
    <row r="225" spans="1:44" s="104" customFormat="1" ht="13.5" thickBot="1">
      <c r="A225" s="1"/>
      <c r="B225" s="1"/>
      <c r="C225" s="2"/>
      <c r="D225" s="1"/>
      <c r="F225" s="591" t="s">
        <v>61</v>
      </c>
      <c r="G225" s="591"/>
      <c r="H225" s="591"/>
      <c r="I225" s="591"/>
      <c r="J225" s="591"/>
      <c r="K225" s="591"/>
      <c r="L225" s="591"/>
      <c r="M225" s="591"/>
      <c r="N225" s="591"/>
      <c r="O225" s="591"/>
      <c r="P225" s="591"/>
      <c r="Q225" s="591"/>
      <c r="R225" s="591"/>
      <c r="S225" s="591"/>
      <c r="T225" s="591"/>
      <c r="U225" s="591"/>
      <c r="V225" s="591"/>
      <c r="W225" s="587"/>
      <c r="X225" s="587"/>
      <c r="Y225" s="587"/>
      <c r="AA225" s="601">
        <f>AA217+AA224</f>
        <v>5869.1371658910248</v>
      </c>
      <c r="AB225" s="601"/>
      <c r="AC225" s="601"/>
      <c r="AD225" s="601"/>
      <c r="AE225" s="601"/>
      <c r="AG225" s="601">
        <f>AG217+AG224</f>
        <v>4866</v>
      </c>
      <c r="AH225" s="601"/>
      <c r="AI225" s="601"/>
      <c r="AJ225" s="601"/>
      <c r="AK225" s="601"/>
      <c r="AL225" s="102"/>
      <c r="AM225" s="40"/>
    </row>
    <row r="226" spans="1:44" s="104" customFormat="1" ht="13.5" thickTop="1">
      <c r="A226" s="1"/>
      <c r="B226" s="1"/>
      <c r="C226" s="2"/>
      <c r="D226" s="1"/>
      <c r="F226" s="590"/>
      <c r="G226" s="590"/>
      <c r="H226" s="590"/>
      <c r="I226" s="590"/>
      <c r="J226" s="590"/>
      <c r="K226" s="590"/>
      <c r="L226" s="590"/>
      <c r="M226" s="590"/>
      <c r="N226" s="590"/>
      <c r="O226" s="590"/>
      <c r="P226" s="590"/>
      <c r="Q226" s="590"/>
      <c r="R226" s="590"/>
      <c r="S226" s="590"/>
      <c r="T226" s="590"/>
      <c r="U226" s="590"/>
      <c r="V226" s="590"/>
      <c r="W226" s="587"/>
      <c r="X226" s="587"/>
      <c r="Y226" s="587"/>
      <c r="AM226" s="119"/>
    </row>
    <row r="227" spans="1:44" s="104" customFormat="1" ht="12.75" customHeight="1">
      <c r="A227" s="1"/>
      <c r="B227" s="1"/>
      <c r="C227" s="2"/>
      <c r="D227" s="1"/>
      <c r="F227" s="591" t="s">
        <v>62</v>
      </c>
      <c r="G227" s="591"/>
      <c r="H227" s="591"/>
      <c r="I227" s="591"/>
      <c r="J227" s="591"/>
      <c r="K227" s="591"/>
      <c r="L227" s="591"/>
      <c r="M227" s="591"/>
      <c r="N227" s="591"/>
      <c r="O227" s="591"/>
      <c r="P227" s="591"/>
      <c r="Q227" s="591"/>
      <c r="R227" s="591"/>
      <c r="S227" s="591"/>
      <c r="T227" s="591"/>
      <c r="U227" s="591"/>
      <c r="V227" s="591"/>
      <c r="W227" s="587"/>
      <c r="X227" s="587"/>
      <c r="Y227" s="587"/>
      <c r="AG227" s="117"/>
      <c r="AH227" s="117"/>
      <c r="AI227" s="117"/>
      <c r="AJ227" s="117"/>
      <c r="AK227" s="117"/>
      <c r="AM227" s="119"/>
    </row>
    <row r="228" spans="1:44" s="104" customFormat="1" ht="12.75" customHeight="1">
      <c r="A228" s="1"/>
      <c r="B228" s="1"/>
      <c r="C228" s="2"/>
      <c r="D228" s="1"/>
      <c r="F228" s="591" t="s">
        <v>63</v>
      </c>
      <c r="G228" s="591"/>
      <c r="H228" s="591"/>
      <c r="I228" s="591"/>
      <c r="J228" s="591"/>
      <c r="K228" s="591"/>
      <c r="L228" s="591"/>
      <c r="M228" s="591"/>
      <c r="N228" s="591"/>
      <c r="O228" s="591"/>
      <c r="P228" s="591"/>
      <c r="Q228" s="591"/>
      <c r="R228" s="591"/>
      <c r="S228" s="591"/>
      <c r="T228" s="591"/>
      <c r="U228" s="591"/>
      <c r="V228" s="591"/>
      <c r="W228" s="119"/>
      <c r="X228" s="119"/>
      <c r="Y228" s="119"/>
      <c r="AG228" s="117"/>
      <c r="AH228" s="117"/>
      <c r="AI228" s="117"/>
      <c r="AJ228" s="117"/>
      <c r="AK228" s="117"/>
      <c r="AM228" s="119"/>
    </row>
    <row r="229" spans="1:44" s="104" customFormat="1">
      <c r="A229" s="1"/>
      <c r="B229" s="1"/>
      <c r="C229" s="2"/>
      <c r="D229" s="1"/>
      <c r="F229" s="590" t="s">
        <v>64</v>
      </c>
      <c r="G229" s="590"/>
      <c r="H229" s="590"/>
      <c r="I229" s="590"/>
      <c r="J229" s="590"/>
      <c r="K229" s="590"/>
      <c r="L229" s="590"/>
      <c r="M229" s="590"/>
      <c r="N229" s="590"/>
      <c r="O229" s="590"/>
      <c r="P229" s="590"/>
      <c r="Q229" s="590"/>
      <c r="R229" s="590"/>
      <c r="S229" s="590"/>
      <c r="T229" s="590"/>
      <c r="U229" s="590"/>
      <c r="V229" s="590"/>
      <c r="W229" s="587">
        <v>17</v>
      </c>
      <c r="X229" s="587"/>
      <c r="Y229" s="587"/>
      <c r="AA229" s="593">
        <v>930</v>
      </c>
      <c r="AB229" s="593"/>
      <c r="AC229" s="593"/>
      <c r="AD229" s="593"/>
      <c r="AE229" s="593"/>
      <c r="AG229" s="593">
        <v>930</v>
      </c>
      <c r="AH229" s="593"/>
      <c r="AI229" s="593"/>
      <c r="AJ229" s="593"/>
      <c r="AK229" s="593"/>
      <c r="AM229" s="222"/>
      <c r="AN229" s="124">
        <f>AA229-T1329</f>
        <v>0</v>
      </c>
      <c r="AO229" s="124"/>
      <c r="AP229" s="124"/>
      <c r="AQ229" s="104" t="s">
        <v>65</v>
      </c>
    </row>
    <row r="230" spans="1:44" s="104" customFormat="1">
      <c r="A230" s="1"/>
      <c r="B230" s="1"/>
      <c r="C230" s="2"/>
      <c r="D230" s="1"/>
      <c r="E230" s="105"/>
      <c r="F230" s="599" t="s">
        <v>66</v>
      </c>
      <c r="G230" s="599"/>
      <c r="H230" s="599"/>
      <c r="I230" s="599"/>
      <c r="J230" s="599"/>
      <c r="K230" s="599"/>
      <c r="L230" s="599"/>
      <c r="M230" s="599"/>
      <c r="N230" s="599"/>
      <c r="O230" s="599"/>
      <c r="P230" s="599"/>
      <c r="Q230" s="599"/>
      <c r="R230" s="599"/>
      <c r="S230" s="599"/>
      <c r="T230" s="599"/>
      <c r="U230" s="599"/>
      <c r="V230" s="599"/>
      <c r="W230" s="588"/>
      <c r="X230" s="588"/>
      <c r="Y230" s="588"/>
      <c r="Z230" s="105"/>
      <c r="AA230" s="566"/>
      <c r="AB230" s="566"/>
      <c r="AC230" s="566"/>
      <c r="AD230" s="566"/>
      <c r="AE230" s="566"/>
      <c r="AF230" s="105"/>
      <c r="AG230" s="566">
        <v>0</v>
      </c>
      <c r="AH230" s="566"/>
      <c r="AI230" s="566"/>
      <c r="AJ230" s="566"/>
      <c r="AK230" s="566"/>
      <c r="AL230" s="105"/>
      <c r="AM230" s="222"/>
      <c r="AN230" s="124">
        <f>AA230-Y361</f>
        <v>0</v>
      </c>
      <c r="AO230" s="124"/>
      <c r="AP230" s="124"/>
      <c r="AQ230" s="104" t="s">
        <v>67</v>
      </c>
    </row>
    <row r="231" spans="1:44" s="104" customFormat="1">
      <c r="A231" s="1"/>
      <c r="B231" s="1"/>
      <c r="C231" s="2"/>
      <c r="D231" s="1"/>
      <c r="E231" s="105"/>
      <c r="F231" s="599" t="s">
        <v>68</v>
      </c>
      <c r="G231" s="599"/>
      <c r="H231" s="599"/>
      <c r="I231" s="599"/>
      <c r="J231" s="599"/>
      <c r="K231" s="599"/>
      <c r="L231" s="599"/>
      <c r="M231" s="599"/>
      <c r="N231" s="599"/>
      <c r="O231" s="599"/>
      <c r="P231" s="599"/>
      <c r="Q231" s="599"/>
      <c r="R231" s="599"/>
      <c r="S231" s="599"/>
      <c r="T231" s="599"/>
      <c r="U231" s="599"/>
      <c r="V231" s="599"/>
      <c r="W231" s="588"/>
      <c r="X231" s="588"/>
      <c r="Y231" s="588"/>
      <c r="Z231" s="105"/>
      <c r="AA231" s="566">
        <f>AG231+AA301-17</f>
        <v>881.97554999999909</v>
      </c>
      <c r="AB231" s="566"/>
      <c r="AC231" s="566"/>
      <c r="AD231" s="566"/>
      <c r="AE231" s="566"/>
      <c r="AF231" s="105"/>
      <c r="AG231" s="566">
        <v>620</v>
      </c>
      <c r="AH231" s="566"/>
      <c r="AI231" s="566"/>
      <c r="AJ231" s="566"/>
      <c r="AK231" s="566"/>
      <c r="AL231" s="105"/>
      <c r="AM231" s="222"/>
      <c r="AN231" s="124">
        <f>AA231-AE361</f>
        <v>830.97554999999909</v>
      </c>
      <c r="AO231" s="124"/>
      <c r="AP231" s="124"/>
      <c r="AQ231" s="104" t="s">
        <v>69</v>
      </c>
    </row>
    <row r="232" spans="1:44" s="104" customFormat="1" ht="15" customHeight="1">
      <c r="A232" s="1"/>
      <c r="B232" s="1"/>
      <c r="C232" s="2"/>
      <c r="D232" s="1"/>
      <c r="E232" s="105"/>
      <c r="F232" s="600" t="s">
        <v>478</v>
      </c>
      <c r="G232" s="600"/>
      <c r="H232" s="600"/>
      <c r="I232" s="600"/>
      <c r="J232" s="600"/>
      <c r="K232" s="600"/>
      <c r="L232" s="600"/>
      <c r="M232" s="600"/>
      <c r="N232" s="600"/>
      <c r="O232" s="600"/>
      <c r="P232" s="600"/>
      <c r="Q232" s="600"/>
      <c r="R232" s="600"/>
      <c r="S232" s="600"/>
      <c r="T232" s="600"/>
      <c r="U232" s="600"/>
      <c r="V232" s="600"/>
      <c r="W232" s="120"/>
      <c r="X232" s="120"/>
      <c r="Y232" s="120"/>
      <c r="Z232" s="105"/>
      <c r="AA232" s="566">
        <v>108</v>
      </c>
      <c r="AB232" s="566"/>
      <c r="AC232" s="566"/>
      <c r="AD232" s="566"/>
      <c r="AE232" s="566"/>
      <c r="AF232" s="105"/>
      <c r="AG232" s="566">
        <v>108</v>
      </c>
      <c r="AH232" s="566"/>
      <c r="AI232" s="566"/>
      <c r="AJ232" s="566"/>
      <c r="AK232" s="566"/>
      <c r="AL232" s="105"/>
      <c r="AM232" s="222"/>
      <c r="AN232" s="124"/>
      <c r="AO232" s="124"/>
      <c r="AP232" s="124"/>
    </row>
    <row r="233" spans="1:44" s="104" customFormat="1">
      <c r="A233" s="1"/>
      <c r="B233" s="1"/>
      <c r="C233" s="2"/>
      <c r="D233" s="1"/>
      <c r="E233" s="105"/>
      <c r="F233" s="600" t="s">
        <v>479</v>
      </c>
      <c r="G233" s="600"/>
      <c r="H233" s="600"/>
      <c r="I233" s="600"/>
      <c r="J233" s="600"/>
      <c r="K233" s="600"/>
      <c r="L233" s="600"/>
      <c r="M233" s="600"/>
      <c r="N233" s="600"/>
      <c r="O233" s="600"/>
      <c r="P233" s="600"/>
      <c r="Q233" s="600"/>
      <c r="R233" s="600"/>
      <c r="S233" s="600"/>
      <c r="T233" s="600"/>
      <c r="U233" s="600"/>
      <c r="V233" s="600"/>
      <c r="W233" s="120"/>
      <c r="X233" s="120"/>
      <c r="Y233" s="120"/>
      <c r="Z233" s="105"/>
      <c r="AA233" s="589">
        <f>-'ОСВ в работу'!X49/1000</f>
        <v>51.392669999999995</v>
      </c>
      <c r="AB233" s="589"/>
      <c r="AC233" s="589"/>
      <c r="AD233" s="589"/>
      <c r="AE233" s="589"/>
      <c r="AF233" s="105"/>
      <c r="AG233" s="589">
        <v>34</v>
      </c>
      <c r="AH233" s="589"/>
      <c r="AI233" s="589"/>
      <c r="AJ233" s="589"/>
      <c r="AK233" s="589"/>
      <c r="AL233" s="105"/>
      <c r="AM233" s="222"/>
      <c r="AN233" s="124"/>
      <c r="AO233" s="124"/>
      <c r="AP233" s="124"/>
    </row>
    <row r="234" spans="1:44" s="104" customFormat="1">
      <c r="A234" s="1"/>
      <c r="B234" s="1"/>
      <c r="C234" s="2"/>
      <c r="D234" s="1"/>
      <c r="F234" s="590"/>
      <c r="G234" s="590"/>
      <c r="H234" s="590"/>
      <c r="I234" s="590"/>
      <c r="J234" s="590"/>
      <c r="K234" s="590"/>
      <c r="L234" s="590"/>
      <c r="M234" s="590"/>
      <c r="N234" s="590"/>
      <c r="O234" s="590"/>
      <c r="P234" s="590"/>
      <c r="Q234" s="590"/>
      <c r="R234" s="590"/>
      <c r="S234" s="590"/>
      <c r="T234" s="590"/>
      <c r="U234" s="590"/>
      <c r="V234" s="590"/>
      <c r="W234" s="587"/>
      <c r="X234" s="587"/>
      <c r="Y234" s="587"/>
      <c r="AA234" s="598">
        <f>SUM(AA229:AE233)</f>
        <v>1971.3682199999992</v>
      </c>
      <c r="AB234" s="598"/>
      <c r="AC234" s="598"/>
      <c r="AD234" s="598"/>
      <c r="AE234" s="598"/>
      <c r="AG234" s="598">
        <f>AG229+AG230+AG231+AG232+AG233</f>
        <v>1692</v>
      </c>
      <c r="AH234" s="598"/>
      <c r="AI234" s="598"/>
      <c r="AJ234" s="598"/>
      <c r="AK234" s="598"/>
      <c r="AL234" s="102"/>
      <c r="AM234" s="240"/>
    </row>
    <row r="235" spans="1:44" s="104" customFormat="1">
      <c r="A235" s="1"/>
      <c r="B235" s="1"/>
      <c r="C235" s="2"/>
      <c r="D235" s="1"/>
      <c r="F235" s="591" t="s">
        <v>70</v>
      </c>
      <c r="G235" s="591"/>
      <c r="H235" s="591"/>
      <c r="I235" s="591"/>
      <c r="J235" s="591"/>
      <c r="K235" s="591"/>
      <c r="L235" s="591"/>
      <c r="M235" s="591"/>
      <c r="N235" s="591"/>
      <c r="O235" s="591"/>
      <c r="P235" s="591"/>
      <c r="Q235" s="591"/>
      <c r="R235" s="591"/>
      <c r="S235" s="591"/>
      <c r="T235" s="591"/>
      <c r="U235" s="591"/>
      <c r="V235" s="591"/>
      <c r="W235" s="587"/>
      <c r="X235" s="587"/>
      <c r="Y235" s="587"/>
      <c r="AG235" s="111"/>
      <c r="AH235" s="111"/>
      <c r="AI235" s="111"/>
      <c r="AJ235" s="111"/>
      <c r="AK235" s="111"/>
      <c r="AL235" s="102"/>
      <c r="AM235" s="121"/>
    </row>
    <row r="236" spans="1:44" s="104" customFormat="1">
      <c r="A236" s="16"/>
      <c r="B236" s="16"/>
      <c r="C236" s="17"/>
      <c r="D236" s="22"/>
      <c r="F236" s="590" t="s">
        <v>1409</v>
      </c>
      <c r="G236" s="590"/>
      <c r="H236" s="590"/>
      <c r="I236" s="590"/>
      <c r="J236" s="590"/>
      <c r="K236" s="590"/>
      <c r="L236" s="590"/>
      <c r="M236" s="590"/>
      <c r="N236" s="590"/>
      <c r="O236" s="590"/>
      <c r="P236" s="590"/>
      <c r="Q236" s="590"/>
      <c r="R236" s="590"/>
      <c r="S236" s="590"/>
      <c r="T236" s="590"/>
      <c r="U236" s="590"/>
      <c r="V236" s="590"/>
      <c r="W236" s="587"/>
      <c r="X236" s="587"/>
      <c r="Y236" s="587"/>
      <c r="AA236" s="566">
        <f>-'ОСВ в работу'!X55/1000</f>
        <v>178.13895234775683</v>
      </c>
      <c r="AB236" s="566"/>
      <c r="AC236" s="566"/>
      <c r="AD236" s="566"/>
      <c r="AE236" s="566"/>
      <c r="AG236" s="593">
        <v>722</v>
      </c>
      <c r="AH236" s="593"/>
      <c r="AI236" s="593"/>
      <c r="AJ236" s="593"/>
      <c r="AK236" s="593"/>
      <c r="AM236" s="222"/>
      <c r="AN236" s="124" t="e">
        <f>AA236-#REF!</f>
        <v>#REF!</v>
      </c>
      <c r="AO236" s="124"/>
      <c r="AP236" s="124"/>
      <c r="AQ236" s="104" t="s">
        <v>72</v>
      </c>
      <c r="AR236" s="104" t="s">
        <v>73</v>
      </c>
    </row>
    <row r="237" spans="1:44" ht="12.75" hidden="1" customHeight="1" outlineLevel="1">
      <c r="A237" s="14"/>
      <c r="C237" s="14"/>
      <c r="F237" s="590" t="s">
        <v>74</v>
      </c>
      <c r="G237" s="590"/>
      <c r="H237" s="590"/>
      <c r="I237" s="590"/>
      <c r="J237" s="590"/>
      <c r="K237" s="590"/>
      <c r="L237" s="590"/>
      <c r="M237" s="590"/>
      <c r="N237" s="590"/>
      <c r="O237" s="590"/>
      <c r="P237" s="590"/>
      <c r="Q237" s="590"/>
      <c r="R237" s="590"/>
      <c r="S237" s="590"/>
      <c r="T237" s="590"/>
      <c r="U237" s="590"/>
      <c r="V237" s="590"/>
      <c r="W237" s="587" t="e">
        <f>MID(#REF!,1,2)</f>
        <v>#REF!</v>
      </c>
      <c r="X237" s="587"/>
      <c r="Y237" s="587"/>
      <c r="AA237" s="598">
        <v>0</v>
      </c>
      <c r="AB237" s="598"/>
      <c r="AC237" s="598"/>
      <c r="AD237" s="598"/>
      <c r="AE237" s="598"/>
      <c r="AG237" s="598">
        <v>2</v>
      </c>
      <c r="AH237" s="598"/>
      <c r="AI237" s="598"/>
      <c r="AJ237" s="598"/>
      <c r="AK237" s="598"/>
      <c r="AM237" s="240">
        <v>0</v>
      </c>
      <c r="AN237" s="19" t="e">
        <f>AA237-#REF!-#REF!</f>
        <v>#REF!</v>
      </c>
      <c r="AO237" s="19" t="e">
        <f>AG237-#REF!-#REF!</f>
        <v>#REF!</v>
      </c>
      <c r="AP237" s="19" t="e">
        <f>AM237-#REF!-#REF!</f>
        <v>#REF!</v>
      </c>
      <c r="AQ237" s="3" t="s">
        <v>75</v>
      </c>
    </row>
    <row r="238" spans="1:44" s="104" customFormat="1" ht="12.75" customHeight="1" outlineLevel="1">
      <c r="A238" s="14"/>
      <c r="B238" s="1"/>
      <c r="C238" s="14"/>
      <c r="D238" s="1"/>
      <c r="F238" s="607" t="s">
        <v>71</v>
      </c>
      <c r="G238" s="607"/>
      <c r="H238" s="607"/>
      <c r="I238" s="607"/>
      <c r="J238" s="607"/>
      <c r="K238" s="607"/>
      <c r="L238" s="607"/>
      <c r="M238" s="607"/>
      <c r="N238" s="607"/>
      <c r="O238" s="607"/>
      <c r="P238" s="607"/>
      <c r="Q238" s="108"/>
      <c r="R238" s="108"/>
      <c r="S238" s="108"/>
      <c r="T238" s="108"/>
      <c r="U238" s="108"/>
      <c r="V238" s="108"/>
      <c r="W238" s="119"/>
      <c r="X238" s="119"/>
      <c r="Y238" s="119"/>
      <c r="AA238" s="604">
        <f>-'ОСВ в работу'!X53/1000</f>
        <v>1.13259</v>
      </c>
      <c r="AB238" s="604"/>
      <c r="AC238" s="604"/>
      <c r="AD238" s="604"/>
      <c r="AE238" s="604"/>
      <c r="AG238" s="604">
        <v>3</v>
      </c>
      <c r="AH238" s="604"/>
      <c r="AI238" s="604"/>
      <c r="AJ238" s="604"/>
      <c r="AK238" s="604"/>
      <c r="AM238" s="241"/>
      <c r="AN238" s="124"/>
      <c r="AO238" s="124"/>
      <c r="AP238" s="124"/>
    </row>
    <row r="239" spans="1:44" s="104" customFormat="1">
      <c r="A239" s="1"/>
      <c r="B239" s="1"/>
      <c r="C239" s="2"/>
      <c r="D239" s="1"/>
      <c r="F239" s="590"/>
      <c r="G239" s="590"/>
      <c r="H239" s="590"/>
      <c r="I239" s="590"/>
      <c r="J239" s="590"/>
      <c r="K239" s="590"/>
      <c r="L239" s="590"/>
      <c r="M239" s="590"/>
      <c r="N239" s="590"/>
      <c r="O239" s="590"/>
      <c r="P239" s="590"/>
      <c r="Q239" s="590"/>
      <c r="R239" s="590"/>
      <c r="S239" s="590"/>
      <c r="T239" s="590"/>
      <c r="U239" s="590"/>
      <c r="V239" s="590"/>
      <c r="W239" s="587"/>
      <c r="X239" s="587"/>
      <c r="Y239" s="587"/>
      <c r="AA239" s="598">
        <f>AA236+AA238</f>
        <v>179.27154234775682</v>
      </c>
      <c r="AB239" s="598"/>
      <c r="AC239" s="598"/>
      <c r="AD239" s="598"/>
      <c r="AE239" s="598"/>
      <c r="AG239" s="603">
        <f>SUBTOTAL(9,AG236:AG238)</f>
        <v>725</v>
      </c>
      <c r="AH239" s="603"/>
      <c r="AI239" s="603"/>
      <c r="AJ239" s="603"/>
      <c r="AK239" s="603"/>
      <c r="AL239" s="102"/>
      <c r="AM239" s="240"/>
    </row>
    <row r="240" spans="1:44" s="104" customFormat="1">
      <c r="A240" s="1"/>
      <c r="B240" s="1"/>
      <c r="C240" s="2"/>
      <c r="D240" s="1"/>
      <c r="F240" s="591" t="s">
        <v>76</v>
      </c>
      <c r="G240" s="591"/>
      <c r="H240" s="591"/>
      <c r="I240" s="591"/>
      <c r="J240" s="591"/>
      <c r="K240" s="591"/>
      <c r="L240" s="591"/>
      <c r="M240" s="591"/>
      <c r="N240" s="591"/>
      <c r="O240" s="591"/>
      <c r="P240" s="591"/>
      <c r="Q240" s="591"/>
      <c r="R240" s="591"/>
      <c r="S240" s="591"/>
      <c r="T240" s="591"/>
      <c r="U240" s="591"/>
      <c r="V240" s="591"/>
      <c r="W240" s="587"/>
      <c r="X240" s="587"/>
      <c r="Y240" s="587"/>
      <c r="AM240" s="263"/>
    </row>
    <row r="241" spans="1:47" s="104" customFormat="1">
      <c r="A241" s="14"/>
      <c r="B241" s="1"/>
      <c r="C241" s="14"/>
      <c r="D241" s="1"/>
      <c r="F241" s="590" t="s">
        <v>77</v>
      </c>
      <c r="G241" s="590"/>
      <c r="H241" s="590"/>
      <c r="I241" s="590"/>
      <c r="J241" s="590"/>
      <c r="K241" s="590"/>
      <c r="L241" s="590"/>
      <c r="M241" s="590"/>
      <c r="N241" s="590"/>
      <c r="O241" s="590"/>
      <c r="P241" s="590"/>
      <c r="Q241" s="590"/>
      <c r="R241" s="590"/>
      <c r="S241" s="590"/>
      <c r="T241" s="590"/>
      <c r="U241" s="590"/>
      <c r="V241" s="590"/>
      <c r="W241" s="587"/>
      <c r="X241" s="587"/>
      <c r="Y241" s="587"/>
      <c r="AA241" s="566">
        <f>-'ОСВ в работу'!X56/1000</f>
        <v>958.99997999999994</v>
      </c>
      <c r="AB241" s="566"/>
      <c r="AC241" s="566"/>
      <c r="AD241" s="566"/>
      <c r="AE241" s="566"/>
      <c r="AG241" s="593"/>
      <c r="AH241" s="593"/>
      <c r="AI241" s="593"/>
      <c r="AJ241" s="593"/>
      <c r="AK241" s="593"/>
      <c r="AM241" s="222"/>
      <c r="AN241" s="124">
        <f>AA241-AA1356</f>
        <v>958.99997999999994</v>
      </c>
      <c r="AO241" s="124"/>
      <c r="AP241" s="124"/>
      <c r="AT241" s="104" t="s">
        <v>78</v>
      </c>
      <c r="AU241" s="104" t="s">
        <v>79</v>
      </c>
    </row>
    <row r="242" spans="1:47" s="104" customFormat="1">
      <c r="A242" s="14"/>
      <c r="B242" s="1"/>
      <c r="C242" s="14"/>
      <c r="D242" s="22"/>
      <c r="E242" s="105"/>
      <c r="F242" s="599" t="s">
        <v>80</v>
      </c>
      <c r="G242" s="599"/>
      <c r="H242" s="599"/>
      <c r="I242" s="599"/>
      <c r="J242" s="599"/>
      <c r="K242" s="599"/>
      <c r="L242" s="599"/>
      <c r="M242" s="599"/>
      <c r="N242" s="599"/>
      <c r="O242" s="599"/>
      <c r="P242" s="599"/>
      <c r="Q242" s="599"/>
      <c r="R242" s="599"/>
      <c r="S242" s="599"/>
      <c r="T242" s="599"/>
      <c r="U242" s="599"/>
      <c r="V242" s="599"/>
      <c r="W242" s="588"/>
      <c r="X242" s="588"/>
      <c r="Y242" s="588"/>
      <c r="Z242" s="105"/>
      <c r="AA242" s="566">
        <f>-'ОСВ в работу'!X57/1000</f>
        <v>507.87271000000004</v>
      </c>
      <c r="AB242" s="566"/>
      <c r="AC242" s="566"/>
      <c r="AD242" s="566"/>
      <c r="AE242" s="566"/>
      <c r="AF242" s="105"/>
      <c r="AG242" s="586">
        <v>1002</v>
      </c>
      <c r="AH242" s="586"/>
      <c r="AI242" s="586"/>
      <c r="AJ242" s="586"/>
      <c r="AK242" s="586"/>
      <c r="AL242" s="105"/>
      <c r="AM242" s="222"/>
      <c r="AN242" s="124" t="e">
        <f>AA242+#REF!-#REF!</f>
        <v>#REF!</v>
      </c>
      <c r="AO242" s="124"/>
      <c r="AP242" s="124"/>
      <c r="AQ242" s="104" t="s">
        <v>81</v>
      </c>
      <c r="AT242" s="104" t="s">
        <v>82</v>
      </c>
    </row>
    <row r="243" spans="1:47" s="104" customFormat="1">
      <c r="A243" s="14"/>
      <c r="B243" s="1"/>
      <c r="C243" s="14"/>
      <c r="D243" s="1"/>
      <c r="F243" s="590" t="s">
        <v>83</v>
      </c>
      <c r="G243" s="590"/>
      <c r="H243" s="590"/>
      <c r="I243" s="590"/>
      <c r="J243" s="590"/>
      <c r="K243" s="590"/>
      <c r="L243" s="590"/>
      <c r="M243" s="590"/>
      <c r="N243" s="590"/>
      <c r="O243" s="590"/>
      <c r="P243" s="590"/>
      <c r="Q243" s="590"/>
      <c r="R243" s="590"/>
      <c r="S243" s="590"/>
      <c r="T243" s="590"/>
      <c r="U243" s="590"/>
      <c r="V243" s="590"/>
      <c r="W243" s="587" t="str">
        <f>MID(F1393,1,2)</f>
        <v>15</v>
      </c>
      <c r="X243" s="587"/>
      <c r="Y243" s="587"/>
      <c r="AA243" s="566"/>
      <c r="AB243" s="566"/>
      <c r="AC243" s="566"/>
      <c r="AD243" s="566"/>
      <c r="AE243" s="566"/>
      <c r="AG243" s="585"/>
      <c r="AH243" s="585"/>
      <c r="AI243" s="585"/>
      <c r="AJ243" s="585"/>
      <c r="AK243" s="585"/>
      <c r="AM243" s="222"/>
      <c r="AN243" s="124">
        <f>AA243-AA1401</f>
        <v>0</v>
      </c>
      <c r="AO243" s="124"/>
      <c r="AP243" s="124"/>
      <c r="AT243" s="104" t="s">
        <v>84</v>
      </c>
    </row>
    <row r="244" spans="1:47" s="104" customFormat="1" ht="14.1" customHeight="1">
      <c r="A244" s="14"/>
      <c r="B244" s="1"/>
      <c r="C244" s="14"/>
      <c r="D244" s="1"/>
      <c r="F244" s="743" t="s">
        <v>418</v>
      </c>
      <c r="G244" s="743"/>
      <c r="H244" s="743"/>
      <c r="I244" s="743"/>
      <c r="J244" s="743"/>
      <c r="K244" s="743"/>
      <c r="L244" s="743"/>
      <c r="M244" s="743"/>
      <c r="N244" s="743"/>
      <c r="O244" s="743"/>
      <c r="P244" s="743"/>
      <c r="Q244" s="743"/>
      <c r="R244" s="743"/>
      <c r="S244" s="743"/>
      <c r="T244" s="743"/>
      <c r="U244" s="743"/>
      <c r="V244" s="109"/>
      <c r="W244" s="119"/>
      <c r="X244" s="119"/>
      <c r="Y244" s="119"/>
      <c r="AA244" s="566">
        <f>-'ОСВ в работу'!Y61/1000</f>
        <v>91.655729999999991</v>
      </c>
      <c r="AB244" s="566"/>
      <c r="AC244" s="566"/>
      <c r="AD244" s="566"/>
      <c r="AE244" s="566"/>
      <c r="AG244" s="110"/>
      <c r="AH244" s="110"/>
      <c r="AI244" s="110"/>
      <c r="AJ244" s="585">
        <f>106+15</f>
        <v>121</v>
      </c>
      <c r="AK244" s="585"/>
      <c r="AM244" s="237"/>
      <c r="AN244" s="124"/>
      <c r="AO244" s="124"/>
      <c r="AP244" s="124"/>
    </row>
    <row r="245" spans="1:47" s="104" customFormat="1" ht="14.1" customHeight="1">
      <c r="A245" s="14"/>
      <c r="B245" s="1"/>
      <c r="C245" s="14"/>
      <c r="D245" s="1"/>
      <c r="F245" s="590" t="s">
        <v>85</v>
      </c>
      <c r="G245" s="590"/>
      <c r="H245" s="590"/>
      <c r="I245" s="590"/>
      <c r="J245" s="590"/>
      <c r="K245" s="590"/>
      <c r="L245" s="590"/>
      <c r="M245" s="590"/>
      <c r="N245" s="590"/>
      <c r="O245" s="590"/>
      <c r="P245" s="590"/>
      <c r="Q245" s="590"/>
      <c r="R245" s="590"/>
      <c r="S245" s="590"/>
      <c r="T245" s="590"/>
      <c r="U245" s="590"/>
      <c r="V245" s="590"/>
      <c r="W245" s="587" t="str">
        <f>MID(F1403,1,2)</f>
        <v>16</v>
      </c>
      <c r="X245" s="587"/>
      <c r="Y245" s="587"/>
      <c r="AA245" s="566">
        <f>-'ОСВ в работу'!X72/1000</f>
        <v>2159.5710099999997</v>
      </c>
      <c r="AB245" s="566"/>
      <c r="AC245" s="566"/>
      <c r="AD245" s="566"/>
      <c r="AE245" s="566"/>
      <c r="AG245" s="585">
        <v>1326</v>
      </c>
      <c r="AH245" s="585"/>
      <c r="AI245" s="585"/>
      <c r="AJ245" s="585"/>
      <c r="AK245" s="585"/>
      <c r="AM245" s="222"/>
      <c r="AN245" s="124">
        <f>AA245-AA1423</f>
        <v>-0.42899000000033993</v>
      </c>
      <c r="AO245" s="124"/>
      <c r="AP245" s="124"/>
      <c r="AQ245" s="104" t="s">
        <v>86</v>
      </c>
      <c r="AR245" s="104" t="s">
        <v>87</v>
      </c>
      <c r="AT245" s="104" t="s">
        <v>88</v>
      </c>
    </row>
    <row r="246" spans="1:47" s="104" customFormat="1" ht="12" customHeight="1">
      <c r="A246" s="1"/>
      <c r="B246" s="1"/>
      <c r="C246" s="2"/>
      <c r="D246" s="1"/>
      <c r="F246" s="590"/>
      <c r="G246" s="590"/>
      <c r="H246" s="590"/>
      <c r="I246" s="590"/>
      <c r="J246" s="590"/>
      <c r="K246" s="590"/>
      <c r="L246" s="590"/>
      <c r="M246" s="590"/>
      <c r="N246" s="590"/>
      <c r="O246" s="590"/>
      <c r="P246" s="590"/>
      <c r="Q246" s="590"/>
      <c r="R246" s="590"/>
      <c r="S246" s="590"/>
      <c r="T246" s="590"/>
      <c r="U246" s="590"/>
      <c r="V246" s="590"/>
      <c r="W246" s="587"/>
      <c r="X246" s="587"/>
      <c r="Y246" s="587"/>
      <c r="AA246" s="610">
        <f>SUBTOTAL(9,AA241:AE245)+1</f>
        <v>3719.0994299999993</v>
      </c>
      <c r="AB246" s="610"/>
      <c r="AC246" s="610"/>
      <c r="AD246" s="610"/>
      <c r="AE246" s="610"/>
      <c r="AF246" s="102"/>
      <c r="AG246" s="610">
        <f>AG242+AJ244+AG245</f>
        <v>2449</v>
      </c>
      <c r="AH246" s="610"/>
      <c r="AI246" s="610"/>
      <c r="AJ246" s="610"/>
      <c r="AK246" s="610"/>
      <c r="AL246" s="118"/>
      <c r="AM246" s="240"/>
    </row>
    <row r="247" spans="1:47" s="104" customFormat="1" ht="13.5" thickBot="1">
      <c r="A247" s="1"/>
      <c r="B247" s="1"/>
      <c r="C247" s="2"/>
      <c r="D247" s="1"/>
      <c r="F247" s="591" t="s">
        <v>89</v>
      </c>
      <c r="G247" s="591"/>
      <c r="H247" s="591"/>
      <c r="I247" s="591"/>
      <c r="J247" s="591"/>
      <c r="K247" s="591"/>
      <c r="L247" s="591"/>
      <c r="M247" s="591"/>
      <c r="N247" s="591"/>
      <c r="O247" s="591"/>
      <c r="P247" s="591"/>
      <c r="Q247" s="591"/>
      <c r="R247" s="591"/>
      <c r="S247" s="591"/>
      <c r="T247" s="591"/>
      <c r="U247" s="591"/>
      <c r="V247" s="591"/>
      <c r="W247" s="587"/>
      <c r="X247" s="587"/>
      <c r="Y247" s="587"/>
      <c r="AA247" s="601">
        <f>AA234+AA239+AA246-1</f>
        <v>5868.7391923477553</v>
      </c>
      <c r="AB247" s="601"/>
      <c r="AC247" s="601"/>
      <c r="AD247" s="601"/>
      <c r="AE247" s="601"/>
      <c r="AG247" s="601">
        <f>AG234+AG239+AG246</f>
        <v>4866</v>
      </c>
      <c r="AH247" s="601"/>
      <c r="AI247" s="601"/>
      <c r="AJ247" s="601"/>
      <c r="AK247" s="601"/>
      <c r="AL247" s="102"/>
      <c r="AM247" s="40"/>
      <c r="AN247" s="124">
        <f>AM247-AM225</f>
        <v>0</v>
      </c>
    </row>
    <row r="248" spans="1:47" s="104" customFormat="1" ht="13.5" thickTop="1">
      <c r="A248" s="1"/>
      <c r="B248" s="1"/>
      <c r="C248" s="2"/>
      <c r="D248" s="1"/>
      <c r="AC248" s="568"/>
      <c r="AD248" s="568"/>
      <c r="AE248" s="568"/>
      <c r="AG248" s="568"/>
      <c r="AH248" s="568"/>
      <c r="AI248" s="568"/>
      <c r="AJ248" s="568"/>
      <c r="AK248" s="568"/>
      <c r="AM248" s="18"/>
    </row>
    <row r="249" spans="1:47" s="104" customFormat="1">
      <c r="A249" s="1"/>
      <c r="B249" s="1"/>
      <c r="C249" s="2"/>
      <c r="D249" s="1"/>
      <c r="AA249" s="611"/>
      <c r="AB249" s="568"/>
      <c r="AC249" s="568"/>
      <c r="AD249" s="568"/>
      <c r="AE249" s="568"/>
      <c r="AG249" s="611"/>
      <c r="AH249" s="568"/>
      <c r="AI249" s="568"/>
      <c r="AJ249" s="568"/>
      <c r="AK249" s="568"/>
      <c r="AM249" s="281"/>
    </row>
    <row r="250" spans="1:47" s="104" customFormat="1">
      <c r="A250" s="1"/>
      <c r="B250" s="1"/>
      <c r="C250" s="2"/>
      <c r="D250" s="1"/>
      <c r="AC250" s="568"/>
      <c r="AD250" s="568"/>
      <c r="AE250" s="568"/>
      <c r="AG250" s="568"/>
      <c r="AH250" s="568"/>
      <c r="AI250" s="568"/>
      <c r="AJ250" s="568"/>
      <c r="AK250" s="568"/>
      <c r="AM250" s="221"/>
    </row>
    <row r="251" spans="1:47" s="104" customFormat="1">
      <c r="A251" s="1"/>
      <c r="B251" s="1"/>
      <c r="C251" s="2"/>
      <c r="D251" s="1"/>
      <c r="AM251" s="221"/>
    </row>
    <row r="252" spans="1:47" s="104" customFormat="1">
      <c r="A252" s="1"/>
      <c r="B252" s="1"/>
      <c r="C252" s="2"/>
      <c r="D252" s="1"/>
      <c r="AM252" s="221"/>
    </row>
    <row r="253" spans="1:47" s="104" customFormat="1">
      <c r="A253" s="1"/>
      <c r="B253" s="1"/>
      <c r="C253" s="2"/>
      <c r="D253" s="1"/>
      <c r="AM253" s="260"/>
    </row>
    <row r="254" spans="1:47" s="104" customFormat="1">
      <c r="A254" s="1"/>
      <c r="B254" s="1"/>
      <c r="C254" s="2"/>
      <c r="D254" s="1"/>
      <c r="AM254" s="260"/>
    </row>
    <row r="255" spans="1:47" s="104" customFormat="1">
      <c r="A255" s="1"/>
      <c r="B255" s="1"/>
      <c r="C255" s="2"/>
      <c r="D255" s="1"/>
      <c r="AM255" s="260"/>
    </row>
    <row r="256" spans="1:47" s="104" customFormat="1">
      <c r="A256" s="1"/>
      <c r="B256" s="1"/>
      <c r="C256" s="2"/>
      <c r="D256" s="1"/>
      <c r="AM256" s="260"/>
    </row>
    <row r="257" spans="1:55" s="104" customFormat="1">
      <c r="A257" s="1"/>
      <c r="B257" s="1"/>
      <c r="C257" s="2"/>
      <c r="D257" s="1"/>
      <c r="AM257" s="260"/>
    </row>
    <row r="258" spans="1:55" s="104" customFormat="1">
      <c r="A258" s="1"/>
      <c r="B258" s="1"/>
      <c r="C258" s="2"/>
      <c r="D258" s="1"/>
      <c r="AM258" s="117"/>
    </row>
    <row r="259" spans="1:55" s="104" customFormat="1">
      <c r="A259" s="1"/>
      <c r="B259" s="1"/>
      <c r="C259" s="2"/>
      <c r="D259" s="1"/>
      <c r="AM259" s="117"/>
    </row>
    <row r="260" spans="1:55" s="104" customFormat="1">
      <c r="A260" s="1"/>
      <c r="B260" s="1"/>
      <c r="C260" s="2"/>
      <c r="D260" s="1"/>
      <c r="AC260" s="568"/>
      <c r="AD260" s="568"/>
      <c r="AE260" s="568"/>
      <c r="AG260" s="568"/>
      <c r="AH260" s="568"/>
      <c r="AI260" s="568"/>
      <c r="AJ260" s="568"/>
      <c r="AK260" s="568"/>
      <c r="AL260" s="231"/>
      <c r="AM260" s="221"/>
    </row>
    <row r="261" spans="1:55" s="104" customFormat="1">
      <c r="A261" s="1"/>
      <c r="B261" s="1"/>
      <c r="C261" s="2"/>
      <c r="D261" s="1"/>
      <c r="E261" s="7"/>
      <c r="F261" s="568" t="s">
        <v>39</v>
      </c>
      <c r="G261" s="568"/>
      <c r="H261" s="568"/>
      <c r="I261" s="568"/>
      <c r="J261" s="568"/>
      <c r="K261" s="568"/>
      <c r="L261" s="568"/>
      <c r="M261" s="568"/>
      <c r="N261" s="568"/>
      <c r="O261" s="568"/>
      <c r="P261" s="568"/>
      <c r="Q261" s="568"/>
      <c r="R261" s="568"/>
      <c r="S261" s="568"/>
      <c r="T261" s="568"/>
      <c r="U261" s="568"/>
      <c r="V261" s="568"/>
      <c r="W261" s="568"/>
      <c r="X261" s="7"/>
      <c r="Y261" s="7"/>
      <c r="Z261" s="7"/>
      <c r="AA261" s="7"/>
      <c r="AB261" s="7"/>
      <c r="AC261" s="7"/>
      <c r="AD261" s="7"/>
      <c r="AE261" s="7"/>
      <c r="AF261" s="7"/>
      <c r="AG261" s="7"/>
      <c r="AH261" s="7"/>
      <c r="AI261" s="7"/>
      <c r="AJ261" s="7"/>
      <c r="AK261" s="7"/>
      <c r="AL261" s="7"/>
      <c r="AM261" s="7"/>
    </row>
    <row r="262" spans="1:55" s="104" customFormat="1">
      <c r="A262" s="1"/>
      <c r="B262" s="1"/>
      <c r="C262" s="2"/>
      <c r="D262" s="1"/>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row>
    <row r="263" spans="1:55" s="104" customFormat="1">
      <c r="A263" s="1"/>
      <c r="B263" s="1"/>
      <c r="C263" s="2"/>
      <c r="D263" s="1"/>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row>
    <row r="264" spans="1:55" s="104" customFormat="1">
      <c r="A264" s="1"/>
      <c r="B264" s="1"/>
      <c r="C264" s="2"/>
      <c r="D264" s="1"/>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row>
    <row r="265" spans="1:55" s="104" customFormat="1">
      <c r="A265" s="1"/>
      <c r="B265" s="1"/>
      <c r="C265" s="2"/>
      <c r="D265" s="1"/>
      <c r="E265" s="7"/>
      <c r="F265" s="592" t="s">
        <v>40</v>
      </c>
      <c r="G265" s="592"/>
      <c r="H265" s="592"/>
      <c r="I265" s="592"/>
      <c r="J265" s="592"/>
      <c r="K265" s="592"/>
      <c r="L265" s="592"/>
      <c r="M265" s="592"/>
      <c r="N265" s="592"/>
      <c r="O265" s="592"/>
      <c r="P265" s="592"/>
      <c r="Q265" s="592"/>
      <c r="Z265" s="592" t="s">
        <v>41</v>
      </c>
      <c r="AA265" s="592"/>
      <c r="AB265" s="592"/>
      <c r="AC265" s="592"/>
      <c r="AD265" s="592"/>
      <c r="AE265" s="592"/>
      <c r="AF265" s="592"/>
      <c r="AG265" s="592"/>
      <c r="AH265" s="592"/>
      <c r="AI265" s="592"/>
      <c r="AJ265" s="592"/>
      <c r="AK265" s="592"/>
      <c r="AL265" s="7"/>
      <c r="AM265" s="7"/>
    </row>
    <row r="266" spans="1:55" s="104" customFormat="1">
      <c r="A266" s="1"/>
      <c r="B266" s="1"/>
      <c r="C266" s="2"/>
      <c r="D266" s="1"/>
      <c r="E266" s="7"/>
      <c r="F266" s="588"/>
      <c r="G266" s="588"/>
      <c r="H266" s="588"/>
      <c r="I266" s="588"/>
      <c r="J266" s="588"/>
      <c r="K266" s="588"/>
      <c r="L266" s="588"/>
      <c r="M266" s="588"/>
      <c r="N266" s="588"/>
      <c r="O266" s="588"/>
      <c r="P266" s="588"/>
      <c r="Q266" s="588"/>
      <c r="Z266" s="587"/>
      <c r="AA266" s="587"/>
      <c r="AB266" s="587"/>
      <c r="AC266" s="587"/>
      <c r="AD266" s="587"/>
      <c r="AE266" s="587"/>
      <c r="AF266" s="587"/>
      <c r="AG266" s="587"/>
      <c r="AH266" s="587"/>
      <c r="AI266" s="587"/>
      <c r="AJ266" s="587"/>
      <c r="AK266" s="587"/>
      <c r="AL266" s="7"/>
      <c r="AM266" s="7"/>
    </row>
    <row r="267" spans="1:55" s="104" customFormat="1">
      <c r="A267" s="1"/>
      <c r="B267" s="1"/>
      <c r="C267" s="2"/>
      <c r="D267" s="1"/>
      <c r="AC267" s="568"/>
      <c r="AD267" s="568"/>
      <c r="AE267" s="568"/>
      <c r="AG267" s="568"/>
      <c r="AH267" s="568"/>
      <c r="AI267" s="568"/>
      <c r="AJ267" s="568"/>
      <c r="AK267" s="568"/>
      <c r="AL267" s="231"/>
      <c r="AM267" s="221"/>
    </row>
    <row r="268" spans="1:55" s="4" customFormat="1" ht="12.75" customHeight="1">
      <c r="A268" s="1"/>
      <c r="B268" s="1"/>
      <c r="C268" s="2"/>
      <c r="D268" s="1"/>
      <c r="E268" s="231"/>
      <c r="F268" s="743" t="s">
        <v>1464</v>
      </c>
      <c r="G268" s="743"/>
      <c r="H268" s="743"/>
      <c r="I268" s="743"/>
      <c r="J268" s="743"/>
      <c r="K268" s="743"/>
      <c r="L268" s="743"/>
      <c r="M268" s="743"/>
      <c r="N268" s="743"/>
      <c r="O268" s="743"/>
      <c r="P268" s="743"/>
      <c r="Q268" s="743"/>
      <c r="R268" s="743"/>
      <c r="S268" s="743"/>
      <c r="T268" s="743"/>
      <c r="U268" s="743"/>
      <c r="V268" s="743"/>
      <c r="W268" s="743"/>
      <c r="X268" s="743"/>
      <c r="Y268" s="743"/>
      <c r="Z268" s="743"/>
      <c r="AA268" s="743"/>
      <c r="AB268" s="743"/>
      <c r="AC268" s="743"/>
      <c r="AD268" s="743"/>
      <c r="AE268" s="743"/>
      <c r="AF268" s="743"/>
      <c r="AG268" s="743"/>
      <c r="AH268" s="743"/>
      <c r="AI268" s="743"/>
      <c r="AJ268" s="743"/>
      <c r="AK268" s="743"/>
      <c r="AL268" s="261"/>
      <c r="AM268" s="261"/>
      <c r="AN268" s="231"/>
      <c r="AO268" s="231"/>
      <c r="AP268" s="231"/>
      <c r="AQ268" s="231"/>
      <c r="AR268" s="231"/>
      <c r="AS268" s="231"/>
      <c r="AT268" s="231"/>
      <c r="AU268" s="231"/>
      <c r="AV268" s="231"/>
      <c r="AW268" s="231"/>
      <c r="AX268" s="231"/>
      <c r="AY268" s="231"/>
      <c r="AZ268" s="231"/>
      <c r="BA268" s="231"/>
      <c r="BB268" s="231"/>
      <c r="BC268" s="231"/>
    </row>
    <row r="269" spans="1:55" s="4" customFormat="1">
      <c r="A269" s="1"/>
      <c r="B269" s="1"/>
      <c r="C269" s="2"/>
      <c r="D269" s="1"/>
      <c r="E269" s="23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21"/>
      <c r="AJ269" s="221"/>
      <c r="AK269" s="221"/>
      <c r="AL269" s="221"/>
      <c r="AM269" s="221"/>
      <c r="AN269" s="231"/>
      <c r="AO269" s="231"/>
      <c r="AP269" s="231"/>
      <c r="AQ269" s="231"/>
      <c r="AR269" s="231"/>
      <c r="AS269" s="231"/>
      <c r="AT269" s="231"/>
      <c r="AU269" s="231"/>
      <c r="AV269" s="231"/>
      <c r="AW269" s="231"/>
      <c r="AX269" s="231"/>
      <c r="AY269" s="231"/>
      <c r="AZ269" s="231"/>
      <c r="BA269" s="231"/>
      <c r="BB269" s="231"/>
      <c r="BC269" s="231"/>
    </row>
    <row r="270" spans="1:55" s="4" customFormat="1">
      <c r="A270" s="1"/>
      <c r="B270" s="1"/>
      <c r="C270" s="2"/>
      <c r="D270" s="1"/>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568"/>
      <c r="AD270" s="568"/>
      <c r="AE270" s="568"/>
      <c r="AF270" s="104"/>
      <c r="AG270" s="568"/>
      <c r="AH270" s="568"/>
      <c r="AI270" s="568"/>
      <c r="AJ270" s="568"/>
      <c r="AK270" s="568"/>
      <c r="AL270" s="104"/>
      <c r="AM270" s="221"/>
      <c r="AN270" s="104"/>
      <c r="AO270" s="104"/>
      <c r="AP270" s="104"/>
      <c r="AQ270" s="104"/>
      <c r="AR270" s="104"/>
      <c r="AS270" s="104"/>
      <c r="AT270" s="104"/>
      <c r="AU270" s="104"/>
      <c r="AV270" s="104"/>
      <c r="AW270" s="104"/>
      <c r="AX270" s="104"/>
      <c r="AY270" s="104"/>
      <c r="AZ270" s="104"/>
      <c r="BA270" s="104"/>
      <c r="BB270" s="104"/>
      <c r="BC270" s="104"/>
    </row>
    <row r="271" spans="1:55" s="4" customFormat="1">
      <c r="A271" s="1"/>
      <c r="B271" s="1"/>
      <c r="C271" s="2"/>
      <c r="D271" s="1"/>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0" t="s">
        <v>24</v>
      </c>
      <c r="AK271" s="612">
        <v>4</v>
      </c>
      <c r="AL271" s="612"/>
      <c r="AM271" s="100" t="s">
        <v>24</v>
      </c>
      <c r="AN271" s="104"/>
      <c r="AO271" s="104"/>
      <c r="AP271" s="104"/>
      <c r="AQ271" s="104"/>
      <c r="AR271" s="104"/>
      <c r="AS271" s="104"/>
      <c r="AT271" s="104"/>
      <c r="AU271" s="104"/>
      <c r="AV271" s="104"/>
      <c r="AW271" s="104"/>
      <c r="AX271" s="104"/>
      <c r="AY271" s="104"/>
      <c r="AZ271" s="104"/>
      <c r="BA271" s="104"/>
      <c r="BB271" s="104"/>
      <c r="BC271" s="104"/>
    </row>
    <row r="272" spans="1:55" s="4" customFormat="1">
      <c r="A272" s="1"/>
      <c r="B272" s="1"/>
      <c r="C272" s="2"/>
      <c r="D272" s="1"/>
      <c r="E272" s="265" t="str">
        <f>UPPER($Y$28)</f>
        <v>ПТ ЛОМБАРД "МЕРКУРІЙ"</v>
      </c>
      <c r="F272" s="265"/>
      <c r="G272" s="265"/>
      <c r="H272" s="265"/>
      <c r="I272" s="265"/>
      <c r="J272" s="265"/>
      <c r="K272" s="265"/>
      <c r="L272" s="265"/>
      <c r="M272" s="265"/>
      <c r="N272" s="265"/>
      <c r="O272" s="265"/>
      <c r="P272" s="265"/>
      <c r="Q272" s="265"/>
      <c r="R272" s="265"/>
      <c r="S272" s="265"/>
      <c r="T272" s="265"/>
      <c r="U272" s="265"/>
      <c r="V272" s="265"/>
      <c r="W272" s="265"/>
      <c r="X272" s="265"/>
      <c r="Y272" s="265"/>
      <c r="Z272" s="265"/>
      <c r="AA272" s="265"/>
      <c r="AB272" s="265"/>
      <c r="AC272" s="265"/>
      <c r="AD272" s="265"/>
      <c r="AE272" s="265"/>
      <c r="AF272" s="265"/>
      <c r="AG272" s="265"/>
      <c r="AH272" s="265"/>
      <c r="AI272" s="265"/>
      <c r="AJ272" s="265"/>
      <c r="AK272" s="265"/>
      <c r="AL272" s="265"/>
      <c r="AM272" s="265"/>
      <c r="AN272" s="231"/>
      <c r="AO272" s="231"/>
      <c r="AP272" s="231"/>
      <c r="AQ272" s="231"/>
      <c r="AR272" s="231"/>
      <c r="AS272" s="231"/>
      <c r="AT272" s="231"/>
      <c r="AU272" s="231"/>
      <c r="AV272" s="231"/>
      <c r="AW272" s="231"/>
      <c r="AX272" s="231"/>
      <c r="AY272" s="231"/>
      <c r="AZ272" s="231"/>
      <c r="BA272" s="231"/>
      <c r="BB272" s="231"/>
      <c r="BC272" s="231"/>
    </row>
    <row r="273" spans="1:55" s="4" customFormat="1">
      <c r="A273" s="1"/>
      <c r="B273" s="1"/>
      <c r="C273" s="2"/>
      <c r="D273" s="1"/>
      <c r="E273" s="269" t="str">
        <f>UPPER($F$77)</f>
        <v>ЗВІТ ПРО СУКУПНИЙ ДОХІД</v>
      </c>
      <c r="F273" s="269"/>
      <c r="G273" s="269"/>
      <c r="H273" s="269"/>
      <c r="I273" s="269"/>
      <c r="J273" s="269"/>
      <c r="K273" s="269"/>
      <c r="L273" s="269"/>
      <c r="M273" s="269"/>
      <c r="N273" s="269"/>
      <c r="O273" s="269"/>
      <c r="P273" s="269"/>
      <c r="Q273" s="269"/>
      <c r="R273" s="269"/>
      <c r="S273" s="269"/>
      <c r="T273" s="269"/>
      <c r="U273" s="269"/>
      <c r="V273" s="269"/>
      <c r="W273" s="269"/>
      <c r="X273" s="269"/>
      <c r="Y273" s="269"/>
      <c r="Z273" s="269"/>
      <c r="AA273" s="269"/>
      <c r="AB273" s="269"/>
      <c r="AC273" s="269"/>
      <c r="AD273" s="269"/>
      <c r="AE273" s="269"/>
      <c r="AF273" s="269"/>
      <c r="AG273" s="269"/>
      <c r="AH273" s="269"/>
      <c r="AI273" s="269"/>
      <c r="AJ273" s="269"/>
      <c r="AK273" s="269"/>
      <c r="AL273" s="269"/>
      <c r="AM273" s="269"/>
      <c r="AN273" s="231"/>
      <c r="AO273" s="231"/>
      <c r="AP273" s="231"/>
      <c r="AQ273" s="231"/>
      <c r="AR273" s="231"/>
      <c r="AS273" s="231"/>
      <c r="AT273" s="231"/>
      <c r="AU273" s="231"/>
      <c r="AV273" s="231"/>
      <c r="AW273" s="231"/>
      <c r="AX273" s="231"/>
      <c r="AY273" s="231"/>
      <c r="AZ273" s="231"/>
      <c r="BA273" s="231"/>
      <c r="BB273" s="231"/>
      <c r="BC273" s="231"/>
    </row>
    <row r="274" spans="1:55" s="4" customFormat="1">
      <c r="A274" s="1"/>
      <c r="B274" s="1"/>
      <c r="C274" s="2"/>
      <c r="D274" s="1"/>
      <c r="E274" s="269" t="s">
        <v>1641</v>
      </c>
      <c r="F274" s="269"/>
      <c r="G274" s="269"/>
      <c r="H274" s="269"/>
      <c r="I274" s="269"/>
      <c r="J274" s="269"/>
      <c r="K274" s="269"/>
      <c r="L274" s="269"/>
      <c r="M274" s="269"/>
      <c r="N274" s="269"/>
      <c r="O274" s="269"/>
      <c r="P274" s="269"/>
      <c r="Q274" s="269"/>
      <c r="R274" s="269"/>
      <c r="S274" s="269"/>
      <c r="T274" s="269"/>
      <c r="U274" s="269"/>
      <c r="V274" s="269"/>
      <c r="W274" s="269"/>
      <c r="X274" s="269"/>
      <c r="Y274" s="269"/>
      <c r="Z274" s="269"/>
      <c r="AA274" s="269"/>
      <c r="AB274" s="269"/>
      <c r="AC274" s="269"/>
      <c r="AD274" s="269"/>
      <c r="AE274" s="269"/>
      <c r="AF274" s="269"/>
      <c r="AG274" s="269"/>
      <c r="AH274" s="269"/>
      <c r="AI274" s="269"/>
      <c r="AJ274" s="269"/>
      <c r="AK274" s="269"/>
      <c r="AL274" s="269"/>
      <c r="AM274" s="269"/>
      <c r="AN274" s="231"/>
      <c r="AO274" s="231"/>
      <c r="AP274" s="231"/>
      <c r="AQ274" s="231"/>
      <c r="AR274" s="231"/>
      <c r="AS274" s="231"/>
      <c r="AT274" s="231"/>
      <c r="AU274" s="231"/>
      <c r="AV274" s="231"/>
      <c r="AW274" s="231"/>
      <c r="AX274" s="231"/>
      <c r="AY274" s="231"/>
      <c r="AZ274" s="231"/>
      <c r="BA274" s="231"/>
      <c r="BB274" s="231"/>
      <c r="BC274" s="231"/>
    </row>
    <row r="275" spans="1:55" s="4" customFormat="1">
      <c r="A275" s="1"/>
      <c r="B275" s="1"/>
      <c r="C275" s="2"/>
      <c r="D275" s="1"/>
      <c r="E275" s="244" t="str">
        <f>$E$209</f>
        <v>(в тисячах гривень, якщо не вказано інше)</v>
      </c>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4"/>
      <c r="AJ275" s="244"/>
      <c r="AK275" s="244"/>
      <c r="AL275" s="244"/>
      <c r="AM275" s="265"/>
      <c r="AN275" s="231"/>
      <c r="AO275" s="231"/>
      <c r="AP275" s="231"/>
      <c r="AQ275" s="231"/>
      <c r="AR275" s="231"/>
      <c r="AS275" s="231"/>
      <c r="AT275" s="231"/>
      <c r="AU275" s="231"/>
      <c r="AV275" s="231"/>
      <c r="AW275" s="231"/>
      <c r="AX275" s="231"/>
      <c r="AY275" s="231"/>
      <c r="AZ275" s="231"/>
      <c r="BA275" s="231"/>
      <c r="BB275" s="231"/>
      <c r="BC275" s="231"/>
    </row>
    <row r="276" spans="1:55" s="4" customFormat="1">
      <c r="A276" s="1"/>
      <c r="B276" s="1"/>
      <c r="C276" s="2"/>
      <c r="D276" s="1"/>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19"/>
      <c r="AN276" s="104"/>
      <c r="AO276" s="104"/>
      <c r="AP276" s="104"/>
      <c r="AQ276" s="104"/>
      <c r="AR276" s="104"/>
      <c r="AS276" s="104"/>
      <c r="AT276" s="104"/>
      <c r="AU276" s="104"/>
      <c r="AV276" s="104"/>
      <c r="AW276" s="104"/>
      <c r="AX276" s="104"/>
      <c r="AY276" s="104"/>
      <c r="AZ276" s="104"/>
      <c r="BA276" s="104"/>
      <c r="BB276" s="104"/>
      <c r="BC276" s="104"/>
    </row>
    <row r="277" spans="1:55" s="4" customFormat="1">
      <c r="A277" s="1"/>
      <c r="B277" s="1"/>
      <c r="C277" s="2"/>
      <c r="D277" s="1"/>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24"/>
      <c r="AN277" s="104"/>
      <c r="AO277" s="104"/>
      <c r="AP277" s="104"/>
      <c r="AQ277" s="104"/>
      <c r="AR277" s="104"/>
      <c r="AS277" s="104"/>
      <c r="AT277" s="104"/>
      <c r="AU277" s="104"/>
      <c r="AV277" s="104"/>
      <c r="AW277" s="104"/>
      <c r="AX277" s="104"/>
      <c r="AY277" s="104"/>
      <c r="AZ277" s="104"/>
      <c r="BA277" s="104"/>
      <c r="BB277" s="104"/>
      <c r="BC277" s="104"/>
    </row>
    <row r="278" spans="1:55" s="4" customFormat="1" ht="12.75" customHeight="1">
      <c r="A278" s="1"/>
      <c r="B278" s="1"/>
      <c r="C278" s="2"/>
      <c r="D278" s="1"/>
      <c r="E278" s="104"/>
      <c r="F278" s="104"/>
      <c r="G278" s="104"/>
      <c r="H278" s="104"/>
      <c r="I278" s="104"/>
      <c r="J278" s="104"/>
      <c r="K278" s="104"/>
      <c r="L278" s="104"/>
      <c r="M278" s="104"/>
      <c r="N278" s="104"/>
      <c r="O278" s="104"/>
      <c r="P278" s="104"/>
      <c r="Q278" s="104"/>
      <c r="R278" s="104"/>
      <c r="S278" s="104"/>
      <c r="T278" s="104"/>
      <c r="U278" s="104"/>
      <c r="V278" s="104"/>
      <c r="W278" s="104"/>
      <c r="X278" s="595" t="s">
        <v>43</v>
      </c>
      <c r="Y278" s="595"/>
      <c r="Z278" s="595"/>
      <c r="AA278" s="595">
        <v>2020</v>
      </c>
      <c r="AB278" s="595"/>
      <c r="AC278" s="595"/>
      <c r="AD278" s="595"/>
      <c r="AE278" s="595"/>
      <c r="AF278" s="104"/>
      <c r="AG278" s="595">
        <v>2019</v>
      </c>
      <c r="AH278" s="595"/>
      <c r="AI278" s="595"/>
      <c r="AJ278" s="595"/>
      <c r="AK278" s="595"/>
      <c r="AL278" s="101"/>
      <c r="AM278" s="282"/>
      <c r="AN278" s="104"/>
      <c r="AO278" s="104"/>
      <c r="AP278" s="104"/>
      <c r="AQ278" s="104"/>
      <c r="AR278" s="104"/>
      <c r="AS278" s="104"/>
      <c r="AT278" s="104"/>
      <c r="AU278" s="104"/>
      <c r="AV278" s="104"/>
      <c r="AW278" s="104"/>
      <c r="AX278" s="104"/>
      <c r="AY278" s="104"/>
      <c r="AZ278" s="104"/>
      <c r="BA278" s="104"/>
      <c r="BB278" s="104"/>
      <c r="BC278" s="104"/>
    </row>
    <row r="279" spans="1:55" s="4" customFormat="1" ht="15" customHeight="1">
      <c r="A279" s="14"/>
      <c r="B279" s="1"/>
      <c r="C279" s="14"/>
      <c r="D279" s="25">
        <f>ROUND(AG279,0)</f>
        <v>4380</v>
      </c>
      <c r="E279" s="104"/>
      <c r="F279" s="568" t="s">
        <v>90</v>
      </c>
      <c r="G279" s="568"/>
      <c r="H279" s="568"/>
      <c r="I279" s="568"/>
      <c r="J279" s="568"/>
      <c r="K279" s="568"/>
      <c r="L279" s="568"/>
      <c r="M279" s="568"/>
      <c r="N279" s="568"/>
      <c r="O279" s="568"/>
      <c r="P279" s="568"/>
      <c r="Q279" s="568"/>
      <c r="R279" s="568"/>
      <c r="S279" s="568"/>
      <c r="T279" s="568"/>
      <c r="U279" s="568"/>
      <c r="V279" s="568"/>
      <c r="W279" s="568"/>
      <c r="X279" s="606">
        <v>5</v>
      </c>
      <c r="Y279" s="606"/>
      <c r="Z279" s="606"/>
      <c r="AA279" s="566">
        <f>-'ОСВ в работу'!X75/1000 -1</f>
        <v>8741.569019999999</v>
      </c>
      <c r="AB279" s="566"/>
      <c r="AC279" s="566"/>
      <c r="AD279" s="566"/>
      <c r="AE279" s="566"/>
      <c r="AF279" s="104"/>
      <c r="AG279" s="566">
        <v>4380</v>
      </c>
      <c r="AH279" s="566"/>
      <c r="AI279" s="566"/>
      <c r="AJ279" s="566"/>
      <c r="AK279" s="566"/>
      <c r="AL279" s="104"/>
      <c r="AM279" s="222"/>
      <c r="AN279" s="26">
        <f>AG279-AG1110</f>
        <v>-4361.569019999999</v>
      </c>
      <c r="AO279" s="26"/>
      <c r="AP279" s="26"/>
      <c r="AQ279" s="104" t="s">
        <v>91</v>
      </c>
      <c r="AR279" s="104"/>
      <c r="AS279" s="104"/>
      <c r="AT279" s="104"/>
      <c r="AU279" s="104"/>
      <c r="AV279" s="104"/>
      <c r="AW279" s="104"/>
      <c r="AX279" s="104"/>
      <c r="AY279" s="104"/>
      <c r="AZ279" s="104"/>
      <c r="BA279" s="104"/>
      <c r="BB279" s="104"/>
      <c r="BC279" s="104"/>
    </row>
    <row r="280" spans="1:55" s="4" customFormat="1" ht="15" customHeight="1">
      <c r="A280" s="14"/>
      <c r="B280" s="1"/>
      <c r="C280" s="27">
        <f>AG279/AG280</f>
        <v>-1.2597066436583262</v>
      </c>
      <c r="D280" s="25">
        <f>ROUND(AG280,0)</f>
        <v>-3477</v>
      </c>
      <c r="E280" s="104"/>
      <c r="F280" s="568" t="s">
        <v>92</v>
      </c>
      <c r="G280" s="568"/>
      <c r="H280" s="568"/>
      <c r="I280" s="568"/>
      <c r="J280" s="568"/>
      <c r="K280" s="568"/>
      <c r="L280" s="568"/>
      <c r="M280" s="568"/>
      <c r="N280" s="568"/>
      <c r="O280" s="568"/>
      <c r="P280" s="568"/>
      <c r="Q280" s="568"/>
      <c r="R280" s="568"/>
      <c r="S280" s="568"/>
      <c r="T280" s="568"/>
      <c r="U280" s="568"/>
      <c r="V280" s="568"/>
      <c r="W280" s="568"/>
      <c r="X280" s="567">
        <v>6</v>
      </c>
      <c r="Y280" s="567"/>
      <c r="Z280" s="567"/>
      <c r="AA280" s="566">
        <f>-'ОСВ в работу'!X80/1000</f>
        <v>-7695.3337799999999</v>
      </c>
      <c r="AB280" s="566"/>
      <c r="AC280" s="566"/>
      <c r="AD280" s="566"/>
      <c r="AE280" s="566"/>
      <c r="AF280" s="104"/>
      <c r="AG280" s="566">
        <f>-3477</f>
        <v>-3477</v>
      </c>
      <c r="AH280" s="566"/>
      <c r="AI280" s="566"/>
      <c r="AJ280" s="566"/>
      <c r="AK280" s="566"/>
      <c r="AL280" s="104"/>
      <c r="AM280" s="222"/>
      <c r="AN280" s="124">
        <f>AG280-AG1123</f>
        <v>-11172.333780000001</v>
      </c>
      <c r="AO280" s="124"/>
      <c r="AP280" s="124"/>
      <c r="AQ280" s="104" t="s">
        <v>93</v>
      </c>
      <c r="AR280" s="104"/>
      <c r="AS280" s="104"/>
      <c r="AT280" s="104"/>
      <c r="AU280" s="104"/>
      <c r="AV280" s="104"/>
      <c r="AW280" s="104"/>
      <c r="AX280" s="104"/>
      <c r="AY280" s="104"/>
      <c r="AZ280" s="104"/>
      <c r="BA280" s="104"/>
      <c r="BB280" s="104"/>
      <c r="BC280" s="104"/>
    </row>
    <row r="281" spans="1:55" s="4" customFormat="1" ht="12.75" hidden="1" customHeight="1" outlineLevel="1">
      <c r="A281" s="14"/>
      <c r="B281" s="1"/>
      <c r="C281" s="27"/>
      <c r="D281" s="25"/>
      <c r="E281" s="3"/>
      <c r="F281" s="619"/>
      <c r="G281" s="620"/>
      <c r="H281" s="620"/>
      <c r="I281" s="620"/>
      <c r="J281" s="620"/>
      <c r="K281" s="620"/>
      <c r="L281" s="620"/>
      <c r="M281" s="620"/>
      <c r="N281" s="620"/>
      <c r="O281" s="620"/>
      <c r="P281" s="620"/>
      <c r="Q281" s="620"/>
      <c r="R281" s="620"/>
      <c r="S281" s="620"/>
      <c r="T281" s="620"/>
      <c r="U281" s="620"/>
      <c r="V281" s="620"/>
      <c r="W281" s="620"/>
      <c r="X281" s="620"/>
      <c r="Y281" s="620"/>
      <c r="Z281" s="620"/>
      <c r="AA281" s="23"/>
      <c r="AB281" s="23"/>
      <c r="AC281" s="23"/>
      <c r="AD281" s="23"/>
      <c r="AE281" s="23"/>
      <c r="AF281" s="3"/>
      <c r="AG281" s="23"/>
      <c r="AH281" s="23"/>
      <c r="AI281" s="23"/>
      <c r="AJ281" s="23"/>
      <c r="AK281" s="23"/>
      <c r="AL281" s="28"/>
      <c r="AM281" s="24"/>
      <c r="AN281" s="19"/>
      <c r="AO281" s="19"/>
      <c r="AP281" s="19"/>
      <c r="AQ281" s="3"/>
      <c r="AR281" s="3"/>
      <c r="AS281" s="3"/>
      <c r="AT281" s="3"/>
      <c r="AU281" s="3"/>
      <c r="AV281" s="3"/>
      <c r="AW281" s="3"/>
      <c r="AX281" s="3"/>
      <c r="AY281" s="3"/>
      <c r="AZ281" s="3"/>
      <c r="BA281" s="3"/>
      <c r="BB281" s="3"/>
      <c r="BC281" s="3"/>
    </row>
    <row r="282" spans="1:55" s="4" customFormat="1" ht="15" hidden="1" customHeight="1" outlineLevel="1">
      <c r="A282" s="14"/>
      <c r="B282" s="1"/>
      <c r="C282" s="27"/>
      <c r="D282" s="25"/>
      <c r="E282" s="3"/>
      <c r="F282" s="620"/>
      <c r="G282" s="620"/>
      <c r="H282" s="620"/>
      <c r="I282" s="620"/>
      <c r="J282" s="620"/>
      <c r="K282" s="620"/>
      <c r="L282" s="620"/>
      <c r="M282" s="620"/>
      <c r="N282" s="620"/>
      <c r="O282" s="620"/>
      <c r="P282" s="620"/>
      <c r="Q282" s="620"/>
      <c r="R282" s="620"/>
      <c r="S282" s="620"/>
      <c r="T282" s="620"/>
      <c r="U282" s="620"/>
      <c r="V282" s="620"/>
      <c r="W282" s="620"/>
      <c r="X282" s="620"/>
      <c r="Y282" s="620"/>
      <c r="Z282" s="620"/>
      <c r="AA282" s="589"/>
      <c r="AB282" s="589"/>
      <c r="AC282" s="589"/>
      <c r="AD282" s="589"/>
      <c r="AE282" s="589"/>
      <c r="AF282" s="3"/>
      <c r="AG282" s="589"/>
      <c r="AH282" s="589"/>
      <c r="AI282" s="589"/>
      <c r="AJ282" s="589"/>
      <c r="AK282" s="589"/>
      <c r="AL282" s="3"/>
      <c r="AM282" s="24"/>
      <c r="AN282" s="19"/>
      <c r="AO282" s="19"/>
      <c r="AP282" s="19"/>
      <c r="AQ282" s="3"/>
      <c r="AR282" s="3"/>
      <c r="AS282" s="3"/>
      <c r="AT282" s="3"/>
      <c r="AU282" s="3"/>
      <c r="AV282" s="3"/>
      <c r="AW282" s="3"/>
      <c r="AX282" s="3"/>
      <c r="AY282" s="3"/>
      <c r="AZ282" s="3"/>
      <c r="BA282" s="3"/>
      <c r="BB282" s="3"/>
      <c r="BC282" s="3"/>
    </row>
    <row r="283" spans="1:55" s="4" customFormat="1" collapsed="1">
      <c r="A283" s="14"/>
      <c r="B283" s="1"/>
      <c r="C283" s="27"/>
      <c r="D283" s="1"/>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3"/>
      <c r="AB283" s="103"/>
      <c r="AC283" s="103"/>
      <c r="AD283" s="103"/>
      <c r="AE283" s="103"/>
      <c r="AF283" s="104"/>
      <c r="AG283" s="103"/>
      <c r="AH283" s="103"/>
      <c r="AI283" s="103"/>
      <c r="AJ283" s="103"/>
      <c r="AK283" s="103"/>
      <c r="AL283" s="104"/>
      <c r="AM283" s="24"/>
      <c r="AN283" s="124"/>
      <c r="AO283" s="124"/>
      <c r="AP283" s="124"/>
      <c r="AQ283" s="104"/>
      <c r="AR283" s="104"/>
      <c r="AS283" s="104"/>
      <c r="AT283" s="104"/>
      <c r="AU283" s="104"/>
      <c r="AV283" s="104"/>
      <c r="AW283" s="104"/>
      <c r="AX283" s="104"/>
      <c r="AY283" s="104"/>
      <c r="AZ283" s="104"/>
      <c r="BA283" s="104"/>
      <c r="BB283" s="104"/>
      <c r="BC283" s="104"/>
    </row>
    <row r="284" spans="1:55" s="4" customFormat="1">
      <c r="A284" s="14"/>
      <c r="B284" s="1"/>
      <c r="C284" s="27" t="e">
        <f>AM279/AM280</f>
        <v>#DIV/0!</v>
      </c>
      <c r="D284" s="1"/>
      <c r="E284" s="104"/>
      <c r="F284" s="583" t="s">
        <v>94</v>
      </c>
      <c r="G284" s="583"/>
      <c r="H284" s="583"/>
      <c r="I284" s="583"/>
      <c r="J284" s="583"/>
      <c r="K284" s="583"/>
      <c r="L284" s="583"/>
      <c r="M284" s="583"/>
      <c r="N284" s="583"/>
      <c r="O284" s="583"/>
      <c r="P284" s="583"/>
      <c r="Q284" s="583"/>
      <c r="R284" s="583"/>
      <c r="S284" s="583"/>
      <c r="T284" s="583"/>
      <c r="U284" s="583"/>
      <c r="V284" s="583"/>
      <c r="W284" s="583"/>
      <c r="X284" s="104"/>
      <c r="Y284" s="104"/>
      <c r="Z284" s="104"/>
      <c r="AA284" s="621">
        <f>SUBTOTAL(9,AA279:AE282)+1</f>
        <v>1047.2352399999991</v>
      </c>
      <c r="AB284" s="621"/>
      <c r="AC284" s="621"/>
      <c r="AD284" s="621"/>
      <c r="AE284" s="621"/>
      <c r="AF284" s="104"/>
      <c r="AG284" s="621">
        <f>SUBTOTAL(9,AG279:AK282)</f>
        <v>903</v>
      </c>
      <c r="AH284" s="621"/>
      <c r="AI284" s="621"/>
      <c r="AJ284" s="621"/>
      <c r="AK284" s="621"/>
      <c r="AL284" s="102"/>
      <c r="AM284" s="240"/>
      <c r="AN284" s="104"/>
      <c r="AO284" s="104"/>
      <c r="AP284" s="104"/>
      <c r="AQ284" s="104"/>
      <c r="AR284" s="104"/>
      <c r="AS284" s="104"/>
      <c r="AT284" s="104"/>
      <c r="AU284" s="104"/>
      <c r="AV284" s="104"/>
      <c r="AW284" s="104"/>
      <c r="AX284" s="104"/>
      <c r="AY284" s="104"/>
      <c r="AZ284" s="104"/>
      <c r="BA284" s="104"/>
      <c r="BB284" s="104"/>
      <c r="BC284" s="104"/>
    </row>
    <row r="285" spans="1:55" s="4" customFormat="1">
      <c r="A285" s="14"/>
      <c r="B285" s="1"/>
      <c r="C285" s="14"/>
      <c r="D285" s="1"/>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21"/>
      <c r="AN285" s="104"/>
      <c r="AO285" s="104"/>
      <c r="AP285" s="104"/>
      <c r="AQ285" s="104"/>
      <c r="AR285" s="104"/>
      <c r="AS285" s="104"/>
      <c r="AT285" s="104"/>
      <c r="AU285" s="104"/>
      <c r="AV285" s="104"/>
      <c r="AW285" s="104"/>
      <c r="AX285" s="104"/>
      <c r="AY285" s="104"/>
      <c r="AZ285" s="104"/>
      <c r="BA285" s="104"/>
      <c r="BB285" s="104"/>
      <c r="BC285" s="104"/>
    </row>
    <row r="286" spans="1:55" s="4" customFormat="1" ht="15" customHeight="1">
      <c r="A286" s="14"/>
      <c r="B286" s="1"/>
      <c r="C286" s="14"/>
      <c r="D286" s="1"/>
      <c r="E286" s="104"/>
      <c r="F286" s="568" t="s">
        <v>95</v>
      </c>
      <c r="G286" s="568"/>
      <c r="H286" s="568"/>
      <c r="I286" s="568"/>
      <c r="J286" s="568"/>
      <c r="K286" s="568"/>
      <c r="L286" s="568"/>
      <c r="M286" s="568"/>
      <c r="N286" s="568"/>
      <c r="O286" s="568"/>
      <c r="P286" s="568"/>
      <c r="Q286" s="568"/>
      <c r="R286" s="568"/>
      <c r="S286" s="568"/>
      <c r="T286" s="568"/>
      <c r="U286" s="568"/>
      <c r="V286" s="568"/>
      <c r="W286" s="568"/>
      <c r="X286" s="567">
        <v>7</v>
      </c>
      <c r="Y286" s="567"/>
      <c r="Z286" s="567"/>
      <c r="AA286" s="566">
        <f>-'ОСВ в работу'!X83/1000</f>
        <v>-438.39030000000002</v>
      </c>
      <c r="AB286" s="566"/>
      <c r="AC286" s="566"/>
      <c r="AD286" s="566"/>
      <c r="AE286" s="566"/>
      <c r="AF286" s="104"/>
      <c r="AG286" s="566">
        <f>-277</f>
        <v>-277</v>
      </c>
      <c r="AH286" s="566"/>
      <c r="AI286" s="566"/>
      <c r="AJ286" s="566"/>
      <c r="AK286" s="566"/>
      <c r="AL286" s="104"/>
      <c r="AM286" s="222"/>
      <c r="AN286" s="124">
        <f>AG286-AG1139</f>
        <v>-715.39030000000002</v>
      </c>
      <c r="AO286" s="124"/>
      <c r="AP286" s="124"/>
      <c r="AQ286" s="104" t="s">
        <v>96</v>
      </c>
      <c r="AR286" s="104"/>
      <c r="AS286" s="104"/>
      <c r="AT286" s="104"/>
      <c r="AU286" s="104"/>
      <c r="AV286" s="104"/>
      <c r="AW286" s="104"/>
      <c r="AX286" s="104"/>
      <c r="AY286" s="104"/>
      <c r="AZ286" s="104"/>
      <c r="BA286" s="104"/>
      <c r="BB286" s="104"/>
      <c r="BC286" s="104"/>
    </row>
    <row r="287" spans="1:55" s="4" customFormat="1" ht="15" customHeight="1">
      <c r="A287" s="14"/>
      <c r="B287" s="1"/>
      <c r="C287" s="14"/>
      <c r="D287" s="1"/>
      <c r="E287" s="104"/>
      <c r="F287" s="568" t="s">
        <v>97</v>
      </c>
      <c r="G287" s="568"/>
      <c r="H287" s="568"/>
      <c r="I287" s="568"/>
      <c r="J287" s="568"/>
      <c r="K287" s="568"/>
      <c r="L287" s="568"/>
      <c r="M287" s="568"/>
      <c r="N287" s="568"/>
      <c r="O287" s="568"/>
      <c r="P287" s="568"/>
      <c r="Q287" s="568"/>
      <c r="R287" s="568"/>
      <c r="S287" s="568"/>
      <c r="T287" s="568"/>
      <c r="U287" s="568"/>
      <c r="V287" s="568"/>
      <c r="W287" s="568"/>
      <c r="X287" s="104"/>
      <c r="Y287" s="104"/>
      <c r="Z287" s="104"/>
      <c r="AA287" s="566"/>
      <c r="AB287" s="566"/>
      <c r="AC287" s="566"/>
      <c r="AD287" s="566"/>
      <c r="AE287" s="566"/>
      <c r="AF287" s="104"/>
      <c r="AG287" s="566"/>
      <c r="AH287" s="566"/>
      <c r="AI287" s="566"/>
      <c r="AJ287" s="566"/>
      <c r="AK287" s="566"/>
      <c r="AL287" s="104"/>
      <c r="AM287" s="222"/>
      <c r="AN287" s="104"/>
      <c r="AO287" s="104"/>
      <c r="AP287" s="104"/>
      <c r="AQ287" s="104" t="s">
        <v>98</v>
      </c>
      <c r="AR287" s="104"/>
      <c r="AS287" s="104"/>
      <c r="AT287" s="104"/>
      <c r="AU287" s="104"/>
      <c r="AV287" s="104"/>
      <c r="AW287" s="104"/>
      <c r="AX287" s="104"/>
      <c r="AY287" s="104"/>
      <c r="AZ287" s="104"/>
      <c r="BA287" s="104"/>
      <c r="BB287" s="104"/>
      <c r="BC287" s="104"/>
    </row>
    <row r="288" spans="1:55" s="4" customFormat="1" ht="15" customHeight="1">
      <c r="A288" s="14"/>
      <c r="B288" s="1"/>
      <c r="C288" s="14"/>
      <c r="D288" s="1"/>
      <c r="E288" s="104"/>
      <c r="F288" s="568" t="s">
        <v>99</v>
      </c>
      <c r="G288" s="568"/>
      <c r="H288" s="568"/>
      <c r="I288" s="568"/>
      <c r="J288" s="568"/>
      <c r="K288" s="568"/>
      <c r="L288" s="568"/>
      <c r="M288" s="568"/>
      <c r="N288" s="568"/>
      <c r="O288" s="568"/>
      <c r="P288" s="568"/>
      <c r="Q288" s="568"/>
      <c r="R288" s="568"/>
      <c r="S288" s="568"/>
      <c r="T288" s="568"/>
      <c r="U288" s="568"/>
      <c r="V288" s="568"/>
      <c r="W288" s="568"/>
      <c r="X288" s="567">
        <v>8</v>
      </c>
      <c r="Y288" s="567"/>
      <c r="Z288" s="567"/>
      <c r="AA288" s="566">
        <f>-'ОСВ в работу'!X84/1000</f>
        <v>-7.9774099999999999</v>
      </c>
      <c r="AB288" s="566"/>
      <c r="AC288" s="566"/>
      <c r="AD288" s="566"/>
      <c r="AE288" s="566"/>
      <c r="AF288" s="104"/>
      <c r="AG288" s="566">
        <f>-3</f>
        <v>-3</v>
      </c>
      <c r="AH288" s="566"/>
      <c r="AI288" s="566"/>
      <c r="AJ288" s="566"/>
      <c r="AK288" s="566"/>
      <c r="AL288" s="121"/>
      <c r="AM288" s="222"/>
      <c r="AN288" s="124">
        <f ca="1">AG288-AG1154</f>
        <v>-11.17741</v>
      </c>
      <c r="AO288" s="124"/>
      <c r="AP288" s="124"/>
      <c r="AQ288" s="104" t="s">
        <v>100</v>
      </c>
      <c r="AR288" s="104"/>
      <c r="AS288" s="104" t="s">
        <v>101</v>
      </c>
      <c r="AT288" s="104"/>
      <c r="AU288" s="104"/>
      <c r="AV288" s="104"/>
      <c r="AW288" s="104" t="s">
        <v>102</v>
      </c>
      <c r="AX288" s="104" t="s">
        <v>103</v>
      </c>
      <c r="AY288" s="104"/>
      <c r="AZ288" s="104"/>
      <c r="BA288" s="104"/>
      <c r="BB288" s="104"/>
      <c r="BC288" s="104"/>
    </row>
    <row r="289" spans="1:55" s="4" customFormat="1" ht="15" hidden="1" customHeight="1" outlineLevel="1">
      <c r="A289" s="14"/>
      <c r="B289" s="1"/>
      <c r="C289" s="14"/>
      <c r="D289" s="1"/>
      <c r="E289" s="3"/>
      <c r="F289" s="568"/>
      <c r="G289" s="568"/>
      <c r="H289" s="568"/>
      <c r="I289" s="568"/>
      <c r="J289" s="568"/>
      <c r="K289" s="568"/>
      <c r="L289" s="568"/>
      <c r="M289" s="568"/>
      <c r="N289" s="568"/>
      <c r="O289" s="568"/>
      <c r="P289" s="568"/>
      <c r="Q289" s="568"/>
      <c r="R289" s="568"/>
      <c r="S289" s="568"/>
      <c r="T289" s="568"/>
      <c r="U289" s="568"/>
      <c r="V289" s="568"/>
      <c r="W289" s="568"/>
      <c r="X289" s="3"/>
      <c r="Y289" s="3"/>
      <c r="Z289" s="3"/>
      <c r="AA289" s="566"/>
      <c r="AB289" s="566"/>
      <c r="AC289" s="566"/>
      <c r="AD289" s="566"/>
      <c r="AE289" s="566"/>
      <c r="AF289" s="3"/>
      <c r="AG289" s="589">
        <v>0</v>
      </c>
      <c r="AH289" s="589"/>
      <c r="AI289" s="589"/>
      <c r="AJ289" s="589"/>
      <c r="AK289" s="589"/>
      <c r="AL289" s="28"/>
      <c r="AM289" s="222">
        <v>0</v>
      </c>
      <c r="AN289" s="3"/>
      <c r="AO289" s="3"/>
      <c r="AP289" s="3"/>
      <c r="AQ289" s="3"/>
      <c r="AR289" s="3"/>
      <c r="AS289" s="3"/>
      <c r="AT289" s="3"/>
      <c r="AU289" s="3"/>
      <c r="AV289" s="3"/>
      <c r="AW289" s="3" t="s">
        <v>104</v>
      </c>
      <c r="AX289" s="3"/>
      <c r="AY289" s="3"/>
      <c r="AZ289" s="3"/>
      <c r="BA289" s="3"/>
      <c r="BB289" s="3"/>
      <c r="BC289" s="3"/>
    </row>
    <row r="290" spans="1:55" s="4" customFormat="1" ht="15" customHeight="1" collapsed="1">
      <c r="A290" s="14"/>
      <c r="B290" s="1"/>
      <c r="C290" s="14"/>
      <c r="D290" s="1"/>
      <c r="E290" s="104"/>
      <c r="F290" s="568" t="s">
        <v>105</v>
      </c>
      <c r="G290" s="568"/>
      <c r="H290" s="568"/>
      <c r="I290" s="568"/>
      <c r="J290" s="568"/>
      <c r="K290" s="568"/>
      <c r="L290" s="568"/>
      <c r="M290" s="568"/>
      <c r="N290" s="568"/>
      <c r="O290" s="568"/>
      <c r="P290" s="568"/>
      <c r="Q290" s="568"/>
      <c r="R290" s="568"/>
      <c r="S290" s="568"/>
      <c r="T290" s="568"/>
      <c r="U290" s="568"/>
      <c r="V290" s="568"/>
      <c r="W290" s="568"/>
      <c r="X290" s="104"/>
      <c r="Y290" s="104"/>
      <c r="Z290" s="104"/>
      <c r="AA290" s="589">
        <f>-'ОСВ в работу'!X87/1000</f>
        <v>-260.65345000000002</v>
      </c>
      <c r="AB290" s="589"/>
      <c r="AC290" s="589"/>
      <c r="AD290" s="589"/>
      <c r="AE290" s="589"/>
      <c r="AF290" s="104"/>
      <c r="AG290" s="589">
        <f>-68</f>
        <v>-68</v>
      </c>
      <c r="AH290" s="589"/>
      <c r="AI290" s="589"/>
      <c r="AJ290" s="589"/>
      <c r="AK290" s="589"/>
      <c r="AL290" s="104"/>
      <c r="AM290" s="222"/>
      <c r="AN290" s="124" t="e">
        <f>AG290-#REF!</f>
        <v>#REF!</v>
      </c>
      <c r="AO290" s="124"/>
      <c r="AP290" s="124"/>
      <c r="AQ290" s="104"/>
      <c r="AR290" s="104"/>
      <c r="AS290" s="104"/>
      <c r="AT290" s="104"/>
      <c r="AU290" s="104"/>
      <c r="AV290" s="104"/>
      <c r="AW290" s="104" t="s">
        <v>106</v>
      </c>
      <c r="AX290" s="104" t="s">
        <v>107</v>
      </c>
      <c r="AY290" s="104" t="s">
        <v>108</v>
      </c>
      <c r="AZ290" s="104" t="s">
        <v>109</v>
      </c>
      <c r="BA290" s="104" t="s">
        <v>110</v>
      </c>
      <c r="BB290" s="104"/>
      <c r="BC290" s="104"/>
    </row>
    <row r="291" spans="1:55" s="4" customFormat="1" ht="15" customHeight="1">
      <c r="A291" s="14"/>
      <c r="B291" s="1"/>
      <c r="C291" s="14"/>
      <c r="D291" s="1"/>
      <c r="E291" s="104"/>
      <c r="F291" s="583" t="s">
        <v>111</v>
      </c>
      <c r="G291" s="583"/>
      <c r="H291" s="583"/>
      <c r="I291" s="583"/>
      <c r="J291" s="583"/>
      <c r="K291" s="583"/>
      <c r="L291" s="583"/>
      <c r="M291" s="583"/>
      <c r="N291" s="583"/>
      <c r="O291" s="583"/>
      <c r="P291" s="583"/>
      <c r="Q291" s="583"/>
      <c r="R291" s="583"/>
      <c r="S291" s="583"/>
      <c r="T291" s="583"/>
      <c r="U291" s="583"/>
      <c r="V291" s="583"/>
      <c r="W291" s="583"/>
      <c r="X291" s="104"/>
      <c r="Y291" s="104"/>
      <c r="Z291" s="104"/>
      <c r="AA291" s="621">
        <f>SUM(AA284:AE290)</f>
        <v>340.21407999999906</v>
      </c>
      <c r="AB291" s="621"/>
      <c r="AC291" s="621"/>
      <c r="AD291" s="621"/>
      <c r="AE291" s="621"/>
      <c r="AF291" s="104"/>
      <c r="AG291" s="621">
        <f>SUM(AG284:AK290)</f>
        <v>555</v>
      </c>
      <c r="AH291" s="621"/>
      <c r="AI291" s="621"/>
      <c r="AJ291" s="621"/>
      <c r="AK291" s="621"/>
      <c r="AL291" s="102"/>
      <c r="AM291" s="240"/>
      <c r="AN291" s="104"/>
      <c r="AO291" s="104"/>
      <c r="AP291" s="104"/>
      <c r="AQ291" s="104"/>
      <c r="AR291" s="104"/>
      <c r="AS291" s="104"/>
      <c r="AT291" s="104"/>
      <c r="AU291" s="104"/>
      <c r="AV291" s="104"/>
      <c r="AW291" s="104"/>
      <c r="AX291" s="104"/>
      <c r="AY291" s="104"/>
      <c r="AZ291" s="104"/>
      <c r="BA291" s="104"/>
      <c r="BB291" s="104"/>
      <c r="BC291" s="104"/>
    </row>
    <row r="292" spans="1:55" s="104" customFormat="1" ht="6.75" customHeight="1">
      <c r="A292" s="14"/>
      <c r="B292" s="1"/>
      <c r="C292" s="14"/>
      <c r="D292" s="1"/>
      <c r="F292" s="99"/>
      <c r="G292" s="99"/>
      <c r="H292" s="99"/>
      <c r="I292" s="99"/>
      <c r="J292" s="99"/>
      <c r="K292" s="99"/>
      <c r="L292" s="99"/>
      <c r="M292" s="99"/>
      <c r="N292" s="99"/>
      <c r="O292" s="99"/>
      <c r="P292" s="99"/>
      <c r="Q292" s="99"/>
      <c r="R292" s="99"/>
      <c r="S292" s="99"/>
      <c r="T292" s="99"/>
      <c r="U292" s="99"/>
      <c r="V292" s="99"/>
      <c r="W292" s="99"/>
      <c r="X292" s="108"/>
      <c r="Y292" s="108"/>
      <c r="Z292" s="108"/>
      <c r="AA292" s="106"/>
      <c r="AB292" s="106"/>
      <c r="AC292" s="106"/>
      <c r="AD292" s="106"/>
      <c r="AE292" s="106"/>
      <c r="AG292" s="106"/>
      <c r="AH292" s="106"/>
      <c r="AI292" s="106"/>
      <c r="AJ292" s="106"/>
      <c r="AK292" s="106"/>
      <c r="AM292" s="24"/>
    </row>
    <row r="293" spans="1:55" s="104" customFormat="1">
      <c r="A293" s="14"/>
      <c r="B293" s="1"/>
      <c r="C293" s="14"/>
      <c r="D293" s="1"/>
      <c r="F293" s="568" t="s">
        <v>112</v>
      </c>
      <c r="G293" s="568"/>
      <c r="H293" s="568"/>
      <c r="I293" s="568"/>
      <c r="J293" s="568"/>
      <c r="K293" s="568"/>
      <c r="L293" s="568"/>
      <c r="M293" s="568"/>
      <c r="N293" s="568"/>
      <c r="O293" s="568"/>
      <c r="P293" s="568"/>
      <c r="Q293" s="568"/>
      <c r="R293" s="568"/>
      <c r="S293" s="568"/>
      <c r="T293" s="568"/>
      <c r="U293" s="568"/>
      <c r="V293" s="568"/>
      <c r="W293" s="568"/>
      <c r="AA293" s="566">
        <f>-'ОСВ в работу'!X88/1000</f>
        <v>-61.238529999999997</v>
      </c>
      <c r="AB293" s="566"/>
      <c r="AC293" s="566"/>
      <c r="AD293" s="566"/>
      <c r="AE293" s="566"/>
      <c r="AG293" s="566">
        <f>-100</f>
        <v>-100</v>
      </c>
      <c r="AH293" s="566"/>
      <c r="AI293" s="566"/>
      <c r="AJ293" s="566"/>
      <c r="AK293" s="566"/>
      <c r="AM293" s="222"/>
    </row>
    <row r="294" spans="1:55" s="104" customFormat="1" ht="6.75" customHeight="1">
      <c r="A294" s="14"/>
      <c r="B294" s="1"/>
      <c r="C294" s="14"/>
      <c r="D294" s="1"/>
      <c r="AM294" s="121"/>
    </row>
    <row r="295" spans="1:55" s="4" customFormat="1">
      <c r="A295" s="14"/>
      <c r="B295" s="1"/>
      <c r="C295" s="14"/>
      <c r="D295" s="1"/>
      <c r="E295" s="104"/>
      <c r="F295" s="583" t="s">
        <v>113</v>
      </c>
      <c r="G295" s="583"/>
      <c r="H295" s="583"/>
      <c r="I295" s="583"/>
      <c r="J295" s="583"/>
      <c r="K295" s="583"/>
      <c r="L295" s="583"/>
      <c r="M295" s="583"/>
      <c r="N295" s="583"/>
      <c r="O295" s="583"/>
      <c r="P295" s="583"/>
      <c r="Q295" s="583"/>
      <c r="R295" s="583"/>
      <c r="S295" s="583"/>
      <c r="T295" s="583"/>
      <c r="U295" s="583"/>
      <c r="V295" s="583"/>
      <c r="W295" s="583"/>
      <c r="X295" s="104"/>
      <c r="Y295" s="104"/>
      <c r="Z295" s="104"/>
      <c r="AA295" s="626">
        <f>AA291+AA293</f>
        <v>278.97554999999909</v>
      </c>
      <c r="AB295" s="626"/>
      <c r="AC295" s="626"/>
      <c r="AD295" s="626"/>
      <c r="AE295" s="626"/>
      <c r="AF295" s="104"/>
      <c r="AG295" s="626">
        <f>AG291+AG293</f>
        <v>455</v>
      </c>
      <c r="AH295" s="626"/>
      <c r="AI295" s="626"/>
      <c r="AJ295" s="626"/>
      <c r="AK295" s="626"/>
      <c r="AL295" s="102"/>
      <c r="AM295" s="240"/>
      <c r="AN295" s="104"/>
      <c r="AO295" s="104"/>
      <c r="AP295" s="104"/>
      <c r="AQ295" s="104"/>
      <c r="AR295" s="104"/>
      <c r="AS295" s="104"/>
      <c r="AT295" s="104"/>
      <c r="AU295" s="104"/>
      <c r="AV295" s="104"/>
      <c r="AW295" s="104"/>
      <c r="AX295" s="104"/>
      <c r="AY295" s="104"/>
      <c r="AZ295" s="104"/>
      <c r="BA295" s="104"/>
      <c r="BB295" s="104"/>
      <c r="BC295" s="104"/>
    </row>
    <row r="296" spans="1:55" s="4" customFormat="1">
      <c r="A296" s="14"/>
      <c r="B296" s="1"/>
      <c r="C296" s="14"/>
      <c r="D296" s="1"/>
      <c r="E296" s="104"/>
      <c r="F296" s="102"/>
      <c r="G296" s="102"/>
      <c r="H296" s="102"/>
      <c r="I296" s="102"/>
      <c r="J296" s="102"/>
      <c r="K296" s="102"/>
      <c r="L296" s="102"/>
      <c r="M296" s="102"/>
      <c r="N296" s="102"/>
      <c r="O296" s="102"/>
      <c r="P296" s="102"/>
      <c r="Q296" s="102"/>
      <c r="R296" s="102"/>
      <c r="S296" s="102"/>
      <c r="T296" s="102"/>
      <c r="U296" s="102"/>
      <c r="V296" s="102"/>
      <c r="W296" s="102"/>
      <c r="X296" s="104"/>
      <c r="Y296" s="104"/>
      <c r="Z296" s="104"/>
      <c r="AA296" s="111"/>
      <c r="AB296" s="111"/>
      <c r="AC296" s="111"/>
      <c r="AD296" s="111"/>
      <c r="AE296" s="111"/>
      <c r="AF296" s="104"/>
      <c r="AG296" s="111"/>
      <c r="AH296" s="111"/>
      <c r="AI296" s="111"/>
      <c r="AJ296" s="111"/>
      <c r="AK296" s="111"/>
      <c r="AL296" s="102"/>
      <c r="AM296" s="24"/>
      <c r="AN296" s="104"/>
      <c r="AO296" s="104"/>
      <c r="AP296" s="104"/>
      <c r="AQ296" s="104"/>
      <c r="AR296" s="104"/>
      <c r="AS296" s="104"/>
      <c r="AT296" s="104"/>
      <c r="AU296" s="104"/>
      <c r="AV296" s="104"/>
      <c r="AW296" s="104"/>
      <c r="AX296" s="104"/>
      <c r="AY296" s="104"/>
      <c r="AZ296" s="104"/>
      <c r="BA296" s="104"/>
      <c r="BB296" s="104"/>
      <c r="BC296" s="104"/>
    </row>
    <row r="297" spans="1:55" s="4" customFormat="1">
      <c r="A297" s="14"/>
      <c r="B297" s="1"/>
      <c r="C297" s="14"/>
      <c r="D297" s="1"/>
      <c r="E297" s="104"/>
      <c r="F297" s="613" t="s">
        <v>114</v>
      </c>
      <c r="G297" s="613"/>
      <c r="H297" s="613"/>
      <c r="I297" s="613"/>
      <c r="J297" s="613"/>
      <c r="K297" s="613"/>
      <c r="L297" s="613"/>
      <c r="M297" s="613"/>
      <c r="N297" s="613"/>
      <c r="O297" s="613"/>
      <c r="P297" s="613"/>
      <c r="Q297" s="613"/>
      <c r="R297" s="613"/>
      <c r="S297" s="613"/>
      <c r="T297" s="102"/>
      <c r="U297" s="102"/>
      <c r="V297" s="102"/>
      <c r="W297" s="102"/>
      <c r="X297" s="104"/>
      <c r="Y297" s="104"/>
      <c r="Z297" s="104"/>
      <c r="AA297" s="111"/>
      <c r="AB297" s="111"/>
      <c r="AC297" s="111"/>
      <c r="AD297" s="111"/>
      <c r="AE297" s="111"/>
      <c r="AF297" s="104"/>
      <c r="AG297" s="111"/>
      <c r="AH297" s="111"/>
      <c r="AI297" s="111"/>
      <c r="AJ297" s="111"/>
      <c r="AK297" s="111"/>
      <c r="AL297" s="102"/>
      <c r="AM297" s="241"/>
      <c r="AN297" s="104"/>
      <c r="AO297" s="104"/>
      <c r="AP297" s="104"/>
      <c r="AQ297" s="104"/>
      <c r="AR297" s="104"/>
      <c r="AS297" s="104"/>
      <c r="AT297" s="104"/>
      <c r="AU297" s="104"/>
      <c r="AV297" s="104"/>
      <c r="AW297" s="104"/>
      <c r="AX297" s="104"/>
      <c r="AY297" s="104"/>
      <c r="AZ297" s="104"/>
      <c r="BA297" s="104"/>
      <c r="BB297" s="104"/>
      <c r="BC297" s="104"/>
    </row>
    <row r="298" spans="1:55" s="4" customFormat="1" ht="5.25" customHeight="1">
      <c r="A298" s="14"/>
      <c r="B298" s="1"/>
      <c r="C298" s="14"/>
      <c r="D298" s="1"/>
      <c r="E298" s="104"/>
      <c r="F298" s="115"/>
      <c r="G298" s="115"/>
      <c r="H298" s="115"/>
      <c r="I298" s="115"/>
      <c r="J298" s="115"/>
      <c r="K298" s="115"/>
      <c r="L298" s="115"/>
      <c r="M298" s="115"/>
      <c r="N298" s="115"/>
      <c r="O298" s="115"/>
      <c r="P298" s="115"/>
      <c r="Q298" s="115"/>
      <c r="R298" s="115"/>
      <c r="S298" s="115"/>
      <c r="T298" s="102"/>
      <c r="U298" s="102"/>
      <c r="V298" s="102"/>
      <c r="W298" s="102"/>
      <c r="X298" s="104"/>
      <c r="Y298" s="104"/>
      <c r="Z298" s="104"/>
      <c r="AA298" s="111"/>
      <c r="AB298" s="111"/>
      <c r="AC298" s="111"/>
      <c r="AD298" s="111"/>
      <c r="AE298" s="111"/>
      <c r="AF298" s="104"/>
      <c r="AG298" s="111"/>
      <c r="AH298" s="111"/>
      <c r="AI298" s="111"/>
      <c r="AJ298" s="111"/>
      <c r="AK298" s="111"/>
      <c r="AL298" s="102"/>
      <c r="AM298" s="241"/>
      <c r="AN298" s="104"/>
      <c r="AO298" s="104"/>
      <c r="AP298" s="104"/>
      <c r="AQ298" s="104"/>
      <c r="AR298" s="104"/>
      <c r="AS298" s="104"/>
      <c r="AT298" s="104"/>
      <c r="AU298" s="104"/>
      <c r="AV298" s="104"/>
      <c r="AW298" s="104"/>
      <c r="AX298" s="104"/>
      <c r="AY298" s="104"/>
      <c r="AZ298" s="104"/>
      <c r="BA298" s="104"/>
      <c r="BB298" s="104"/>
      <c r="BC298" s="104"/>
    </row>
    <row r="299" spans="1:55" s="4" customFormat="1" ht="15" hidden="1" customHeight="1" outlineLevel="1">
      <c r="A299" s="14"/>
      <c r="B299" s="1"/>
      <c r="C299" s="14"/>
      <c r="D299" s="1"/>
      <c r="E299" s="20"/>
      <c r="F299" s="625" t="s">
        <v>115</v>
      </c>
      <c r="G299" s="625"/>
      <c r="H299" s="625"/>
      <c r="I299" s="625"/>
      <c r="J299" s="625"/>
      <c r="K299" s="625"/>
      <c r="L299" s="625"/>
      <c r="M299" s="625"/>
      <c r="N299" s="625"/>
      <c r="O299" s="625"/>
      <c r="P299" s="625"/>
      <c r="Q299" s="625"/>
      <c r="R299" s="625"/>
      <c r="S299" s="625"/>
      <c r="T299" s="31"/>
      <c r="U299" s="31"/>
      <c r="V299" s="31"/>
      <c r="W299" s="31"/>
      <c r="X299" s="20"/>
      <c r="Y299" s="20"/>
      <c r="Z299" s="20"/>
      <c r="AA299" s="566"/>
      <c r="AB299" s="566"/>
      <c r="AC299" s="566"/>
      <c r="AD299" s="566"/>
      <c r="AE299" s="566"/>
      <c r="AF299" s="20"/>
      <c r="AG299" s="566"/>
      <c r="AH299" s="566"/>
      <c r="AI299" s="566"/>
      <c r="AJ299" s="566"/>
      <c r="AK299" s="566"/>
      <c r="AL299" s="32"/>
      <c r="AM299" s="24"/>
      <c r="AN299" s="19">
        <f>AG299-AE359</f>
        <v>-17</v>
      </c>
      <c r="AO299" s="19">
        <f>AM299-AE353</f>
        <v>0</v>
      </c>
      <c r="AP299" s="3"/>
      <c r="AQ299" s="3" t="s">
        <v>116</v>
      </c>
      <c r="AR299" s="3"/>
      <c r="AS299" s="3"/>
      <c r="AT299" s="3"/>
      <c r="AU299" s="3"/>
      <c r="AV299" s="3"/>
      <c r="AW299" s="3"/>
      <c r="AX299" s="3"/>
      <c r="AY299" s="3"/>
      <c r="AZ299" s="3"/>
      <c r="BA299" s="3"/>
      <c r="BB299" s="3"/>
      <c r="BC299" s="3"/>
    </row>
    <row r="300" spans="1:55" s="4" customFormat="1" ht="5.25" hidden="1" customHeight="1" outlineLevel="1">
      <c r="A300" s="14"/>
      <c r="B300" s="1"/>
      <c r="C300" s="14"/>
      <c r="D300" s="1"/>
      <c r="E300" s="3"/>
      <c r="F300" s="30"/>
      <c r="G300" s="30"/>
      <c r="H300" s="30"/>
      <c r="I300" s="30"/>
      <c r="J300" s="30"/>
      <c r="K300" s="30"/>
      <c r="L300" s="30"/>
      <c r="M300" s="30"/>
      <c r="N300" s="30"/>
      <c r="O300" s="30"/>
      <c r="P300" s="30"/>
      <c r="Q300" s="30"/>
      <c r="R300" s="30"/>
      <c r="S300" s="30"/>
      <c r="T300" s="3"/>
      <c r="U300" s="3"/>
      <c r="V300" s="3"/>
      <c r="W300" s="3"/>
      <c r="X300" s="3"/>
      <c r="Y300" s="3"/>
      <c r="Z300" s="3"/>
      <c r="AA300" s="21"/>
      <c r="AB300" s="21"/>
      <c r="AC300" s="21"/>
      <c r="AD300" s="21"/>
      <c r="AE300" s="21"/>
      <c r="AF300" s="3"/>
      <c r="AG300" s="21"/>
      <c r="AH300" s="21"/>
      <c r="AI300" s="21"/>
      <c r="AJ300" s="21"/>
      <c r="AK300" s="21"/>
      <c r="AL300" s="28"/>
      <c r="AM300" s="24"/>
      <c r="AN300" s="3"/>
      <c r="AO300" s="3"/>
      <c r="AP300" s="3"/>
      <c r="AQ300" s="3"/>
      <c r="AR300" s="3"/>
      <c r="AS300" s="3"/>
      <c r="AT300" s="3"/>
      <c r="AU300" s="3"/>
      <c r="AV300" s="3"/>
      <c r="AW300" s="3"/>
      <c r="AX300" s="3"/>
      <c r="AY300" s="3"/>
      <c r="AZ300" s="3"/>
      <c r="BA300" s="3"/>
      <c r="BB300" s="3"/>
      <c r="BC300" s="3"/>
    </row>
    <row r="301" spans="1:55" s="4" customFormat="1" ht="13.5" collapsed="1" thickBot="1">
      <c r="A301" s="14"/>
      <c r="B301" s="1"/>
      <c r="C301" s="14"/>
      <c r="D301" s="1"/>
      <c r="E301" s="104"/>
      <c r="F301" s="613" t="s">
        <v>117</v>
      </c>
      <c r="G301" s="613"/>
      <c r="H301" s="613"/>
      <c r="I301" s="613"/>
      <c r="J301" s="613"/>
      <c r="K301" s="613"/>
      <c r="L301" s="613"/>
      <c r="M301" s="613"/>
      <c r="N301" s="613"/>
      <c r="O301" s="613"/>
      <c r="P301" s="613"/>
      <c r="Q301" s="613"/>
      <c r="R301" s="613"/>
      <c r="S301" s="613"/>
      <c r="T301" s="33"/>
      <c r="U301" s="33"/>
      <c r="V301" s="33"/>
      <c r="W301" s="33"/>
      <c r="X301" s="104"/>
      <c r="Y301" s="104"/>
      <c r="Z301" s="104"/>
      <c r="AA301" s="623">
        <f>AA295+AA299</f>
        <v>278.97554999999909</v>
      </c>
      <c r="AB301" s="623"/>
      <c r="AC301" s="623"/>
      <c r="AD301" s="623"/>
      <c r="AE301" s="623"/>
      <c r="AF301" s="104"/>
      <c r="AG301" s="623">
        <f>AG295+AG299</f>
        <v>455</v>
      </c>
      <c r="AH301" s="623"/>
      <c r="AI301" s="623"/>
      <c r="AJ301" s="623"/>
      <c r="AK301" s="623"/>
      <c r="AL301" s="118"/>
      <c r="AM301" s="240"/>
      <c r="AN301" s="104"/>
      <c r="AO301" s="104"/>
      <c r="AP301" s="104"/>
      <c r="AQ301" s="104"/>
      <c r="AR301" s="104"/>
      <c r="AS301" s="104"/>
      <c r="AT301" s="104"/>
      <c r="AU301" s="104"/>
      <c r="AV301" s="104"/>
      <c r="AW301" s="104"/>
      <c r="AX301" s="104"/>
      <c r="AY301" s="104"/>
      <c r="AZ301" s="104"/>
      <c r="BA301" s="104"/>
      <c r="BB301" s="104"/>
      <c r="BC301" s="104"/>
    </row>
    <row r="302" spans="1:55" s="4" customFormat="1" ht="13.5" thickTop="1">
      <c r="A302" s="14"/>
      <c r="B302" s="1"/>
      <c r="C302" s="14"/>
      <c r="D302" s="1"/>
      <c r="E302" s="104"/>
      <c r="F302" s="102"/>
      <c r="G302" s="102"/>
      <c r="H302" s="102"/>
      <c r="I302" s="102"/>
      <c r="J302" s="102"/>
      <c r="K302" s="102"/>
      <c r="L302" s="102"/>
      <c r="M302" s="102"/>
      <c r="N302" s="102"/>
      <c r="O302" s="102"/>
      <c r="P302" s="102"/>
      <c r="Q302" s="102"/>
      <c r="R302" s="102"/>
      <c r="S302" s="102"/>
      <c r="T302" s="102"/>
      <c r="U302" s="102"/>
      <c r="V302" s="102"/>
      <c r="W302" s="102"/>
      <c r="X302" s="104"/>
      <c r="Y302" s="104"/>
      <c r="Z302" s="104"/>
      <c r="AA302" s="104"/>
      <c r="AB302" s="104"/>
      <c r="AC302" s="104"/>
      <c r="AD302" s="104"/>
      <c r="AE302" s="104"/>
      <c r="AF302" s="104"/>
      <c r="AG302" s="111"/>
      <c r="AH302" s="111"/>
      <c r="AI302" s="111"/>
      <c r="AJ302" s="111"/>
      <c r="AK302" s="111"/>
      <c r="AL302" s="102"/>
      <c r="AM302" s="24"/>
      <c r="AN302" s="104"/>
      <c r="AO302" s="104"/>
      <c r="AP302" s="104"/>
      <c r="AQ302" s="104"/>
      <c r="AR302" s="104"/>
      <c r="AS302" s="104"/>
      <c r="AT302" s="104"/>
      <c r="AU302" s="104"/>
      <c r="AV302" s="104"/>
      <c r="AW302" s="104"/>
      <c r="AX302" s="104"/>
      <c r="AY302" s="104"/>
      <c r="AZ302" s="104"/>
      <c r="BA302" s="104"/>
      <c r="BB302" s="104"/>
      <c r="BC302" s="104"/>
    </row>
    <row r="303" spans="1:55" s="4" customFormat="1">
      <c r="A303" s="14"/>
      <c r="B303" s="1"/>
      <c r="C303" s="14"/>
      <c r="D303" s="1"/>
      <c r="E303" s="104"/>
      <c r="F303" s="102"/>
      <c r="G303" s="102"/>
      <c r="H303" s="102"/>
      <c r="I303" s="102"/>
      <c r="J303" s="102"/>
      <c r="K303" s="102"/>
      <c r="L303" s="102"/>
      <c r="M303" s="102"/>
      <c r="N303" s="102"/>
      <c r="O303" s="102"/>
      <c r="P303" s="102"/>
      <c r="Q303" s="102"/>
      <c r="R303" s="102"/>
      <c r="S303" s="102"/>
      <c r="T303" s="102"/>
      <c r="U303" s="102"/>
      <c r="V303" s="102"/>
      <c r="W303" s="102"/>
      <c r="X303" s="104"/>
      <c r="Y303" s="104"/>
      <c r="Z303" s="104"/>
      <c r="AA303" s="104"/>
      <c r="AB303" s="104"/>
      <c r="AC303" s="104"/>
      <c r="AD303" s="104"/>
      <c r="AE303" s="104"/>
      <c r="AF303" s="104"/>
      <c r="AG303" s="111"/>
      <c r="AH303" s="111"/>
      <c r="AI303" s="111"/>
      <c r="AJ303" s="111"/>
      <c r="AK303" s="111"/>
      <c r="AL303" s="102"/>
      <c r="AM303" s="24"/>
      <c r="AN303" s="104"/>
      <c r="AO303" s="104"/>
      <c r="AP303" s="104"/>
      <c r="AQ303" s="104"/>
      <c r="AR303" s="104"/>
      <c r="AS303" s="104"/>
      <c r="AT303" s="104"/>
      <c r="AU303" s="104"/>
      <c r="AV303" s="104"/>
      <c r="AW303" s="104"/>
      <c r="AX303" s="104"/>
      <c r="AY303" s="104"/>
      <c r="AZ303" s="104"/>
      <c r="BA303" s="104"/>
      <c r="BB303" s="104"/>
      <c r="BC303" s="104"/>
    </row>
    <row r="304" spans="1:55" s="4" customFormat="1">
      <c r="A304" s="14"/>
      <c r="B304" s="1"/>
      <c r="C304" s="14"/>
      <c r="D304" s="1"/>
      <c r="E304" s="104"/>
      <c r="F304" s="102"/>
      <c r="G304" s="102"/>
      <c r="H304" s="102"/>
      <c r="I304" s="102"/>
      <c r="J304" s="102"/>
      <c r="K304" s="102"/>
      <c r="L304" s="102"/>
      <c r="M304" s="102"/>
      <c r="N304" s="102"/>
      <c r="O304" s="102"/>
      <c r="P304" s="102"/>
      <c r="Q304" s="102"/>
      <c r="R304" s="102"/>
      <c r="S304" s="102"/>
      <c r="T304" s="102"/>
      <c r="U304" s="102"/>
      <c r="V304" s="102"/>
      <c r="W304" s="102"/>
      <c r="X304" s="104"/>
      <c r="Y304" s="104"/>
      <c r="Z304" s="104"/>
      <c r="AA304" s="104"/>
      <c r="AB304" s="104"/>
      <c r="AC304" s="104"/>
      <c r="AD304" s="104"/>
      <c r="AE304" s="104"/>
      <c r="AF304" s="104"/>
      <c r="AG304" s="111"/>
      <c r="AH304" s="111"/>
      <c r="AI304" s="111"/>
      <c r="AJ304" s="111"/>
      <c r="AK304" s="111"/>
      <c r="AL304" s="102"/>
      <c r="AM304" s="24"/>
      <c r="AN304" s="104"/>
      <c r="AO304" s="104"/>
      <c r="AP304" s="104"/>
      <c r="AQ304" s="104"/>
      <c r="AR304" s="104"/>
      <c r="AS304" s="104"/>
      <c r="AT304" s="104"/>
      <c r="AU304" s="104"/>
      <c r="AV304" s="104"/>
      <c r="AW304" s="104"/>
      <c r="AX304" s="104"/>
      <c r="AY304" s="104"/>
      <c r="AZ304" s="104"/>
      <c r="BA304" s="104"/>
      <c r="BB304" s="104"/>
      <c r="BC304" s="104"/>
    </row>
    <row r="305" spans="1:55" s="4" customFormat="1">
      <c r="A305" s="14"/>
      <c r="B305" s="1"/>
      <c r="C305" s="14"/>
      <c r="D305" s="1"/>
      <c r="E305" s="104"/>
      <c r="F305" s="102"/>
      <c r="G305" s="102"/>
      <c r="H305" s="102"/>
      <c r="I305" s="102"/>
      <c r="J305" s="102"/>
      <c r="K305" s="102"/>
      <c r="L305" s="102"/>
      <c r="M305" s="102"/>
      <c r="N305" s="102"/>
      <c r="O305" s="102"/>
      <c r="P305" s="102"/>
      <c r="Q305" s="102"/>
      <c r="R305" s="102"/>
      <c r="S305" s="102"/>
      <c r="T305" s="102"/>
      <c r="U305" s="102"/>
      <c r="V305" s="102"/>
      <c r="W305" s="102"/>
      <c r="X305" s="104"/>
      <c r="Y305" s="104"/>
      <c r="Z305" s="104"/>
      <c r="AA305" s="104"/>
      <c r="AB305" s="104"/>
      <c r="AC305" s="104"/>
      <c r="AD305" s="104"/>
      <c r="AE305" s="104"/>
      <c r="AF305" s="104"/>
      <c r="AG305" s="111"/>
      <c r="AH305" s="111"/>
      <c r="AI305" s="111"/>
      <c r="AJ305" s="111"/>
      <c r="AK305" s="111"/>
      <c r="AL305" s="102"/>
      <c r="AM305" s="24"/>
      <c r="AN305" s="104"/>
      <c r="AO305" s="104"/>
      <c r="AP305" s="104"/>
      <c r="AQ305" s="104"/>
      <c r="AR305" s="104"/>
      <c r="AS305" s="104"/>
      <c r="AT305" s="104"/>
      <c r="AU305" s="104"/>
      <c r="AV305" s="104"/>
      <c r="AW305" s="104"/>
      <c r="AX305" s="104"/>
      <c r="AY305" s="104"/>
      <c r="AZ305" s="104"/>
      <c r="BA305" s="104"/>
      <c r="BB305" s="104"/>
      <c r="BC305" s="104"/>
    </row>
    <row r="306" spans="1:55" s="4" customFormat="1">
      <c r="A306" s="14"/>
      <c r="B306" s="1"/>
      <c r="C306" s="14"/>
      <c r="D306" s="1"/>
      <c r="E306" s="104"/>
      <c r="F306" s="102"/>
      <c r="G306" s="102"/>
      <c r="H306" s="102"/>
      <c r="I306" s="102"/>
      <c r="J306" s="102"/>
      <c r="K306" s="102"/>
      <c r="L306" s="102"/>
      <c r="M306" s="102"/>
      <c r="N306" s="102"/>
      <c r="O306" s="102"/>
      <c r="P306" s="102"/>
      <c r="Q306" s="102"/>
      <c r="R306" s="102"/>
      <c r="S306" s="102"/>
      <c r="T306" s="102"/>
      <c r="U306" s="102"/>
      <c r="V306" s="102"/>
      <c r="W306" s="102"/>
      <c r="X306" s="104"/>
      <c r="Y306" s="104"/>
      <c r="Z306" s="104"/>
      <c r="AA306" s="104"/>
      <c r="AB306" s="104"/>
      <c r="AC306" s="104"/>
      <c r="AD306" s="104"/>
      <c r="AE306" s="104"/>
      <c r="AF306" s="104"/>
      <c r="AG306" s="111"/>
      <c r="AH306" s="111"/>
      <c r="AI306" s="111"/>
      <c r="AJ306" s="111"/>
      <c r="AK306" s="111"/>
      <c r="AL306" s="102"/>
      <c r="AM306" s="24"/>
      <c r="AN306" s="104"/>
      <c r="AO306" s="104"/>
      <c r="AP306" s="104"/>
      <c r="AQ306" s="104"/>
      <c r="AR306" s="104"/>
      <c r="AS306" s="104"/>
      <c r="AT306" s="104"/>
      <c r="AU306" s="104"/>
      <c r="AV306" s="104"/>
      <c r="AW306" s="104"/>
      <c r="AX306" s="104"/>
      <c r="AY306" s="104"/>
      <c r="AZ306" s="104"/>
      <c r="BA306" s="104"/>
      <c r="BB306" s="104"/>
      <c r="BC306" s="104"/>
    </row>
    <row r="307" spans="1:55" s="4" customFormat="1">
      <c r="A307" s="14"/>
      <c r="B307" s="1"/>
      <c r="C307" s="14"/>
      <c r="D307" s="1"/>
      <c r="E307" s="104"/>
      <c r="F307" s="102"/>
      <c r="G307" s="102"/>
      <c r="H307" s="102"/>
      <c r="I307" s="102"/>
      <c r="J307" s="102"/>
      <c r="K307" s="102"/>
      <c r="L307" s="102"/>
      <c r="M307" s="102"/>
      <c r="N307" s="102"/>
      <c r="O307" s="102"/>
      <c r="P307" s="102"/>
      <c r="Q307" s="102"/>
      <c r="R307" s="102"/>
      <c r="S307" s="102"/>
      <c r="T307" s="102"/>
      <c r="U307" s="102"/>
      <c r="V307" s="102"/>
      <c r="W307" s="102"/>
      <c r="X307" s="104"/>
      <c r="Y307" s="104"/>
      <c r="Z307" s="104"/>
      <c r="AA307" s="104"/>
      <c r="AB307" s="104"/>
      <c r="AC307" s="104"/>
      <c r="AD307" s="104"/>
      <c r="AE307" s="104"/>
      <c r="AF307" s="104"/>
      <c r="AG307" s="111"/>
      <c r="AH307" s="111"/>
      <c r="AI307" s="111"/>
      <c r="AJ307" s="111"/>
      <c r="AK307" s="111"/>
      <c r="AL307" s="102"/>
      <c r="AM307" s="111"/>
      <c r="AN307" s="104"/>
      <c r="AO307" s="104"/>
      <c r="AP307" s="104"/>
      <c r="AQ307" s="104"/>
      <c r="AR307" s="104"/>
      <c r="AS307" s="104"/>
      <c r="AT307" s="104"/>
      <c r="AU307" s="104"/>
      <c r="AV307" s="104"/>
      <c r="AW307" s="104"/>
      <c r="AX307" s="104"/>
      <c r="AY307" s="104"/>
      <c r="AZ307" s="104"/>
      <c r="BA307" s="104"/>
      <c r="BB307" s="104"/>
      <c r="BC307" s="104"/>
    </row>
    <row r="308" spans="1:55" s="4" customFormat="1">
      <c r="A308" s="14"/>
      <c r="B308" s="1"/>
      <c r="C308" s="14"/>
      <c r="D308" s="1"/>
      <c r="E308" s="104"/>
      <c r="F308" s="102"/>
      <c r="G308" s="102"/>
      <c r="H308" s="102"/>
      <c r="I308" s="102"/>
      <c r="J308" s="102"/>
      <c r="K308" s="102"/>
      <c r="L308" s="102"/>
      <c r="M308" s="102"/>
      <c r="N308" s="102"/>
      <c r="O308" s="102"/>
      <c r="P308" s="102"/>
      <c r="Q308" s="102"/>
      <c r="R308" s="102"/>
      <c r="S308" s="102"/>
      <c r="T308" s="102"/>
      <c r="U308" s="102"/>
      <c r="V308" s="102"/>
      <c r="W308" s="102"/>
      <c r="X308" s="104"/>
      <c r="Y308" s="104"/>
      <c r="Z308" s="104"/>
      <c r="AA308" s="104"/>
      <c r="AB308" s="104"/>
      <c r="AC308" s="104"/>
      <c r="AD308" s="104"/>
      <c r="AE308" s="104"/>
      <c r="AF308" s="104"/>
      <c r="AG308" s="111"/>
      <c r="AH308" s="111"/>
      <c r="AI308" s="111"/>
      <c r="AJ308" s="111"/>
      <c r="AK308" s="111"/>
      <c r="AL308" s="102"/>
      <c r="AM308" s="111"/>
      <c r="AN308" s="104"/>
      <c r="AO308" s="104"/>
      <c r="AP308" s="104"/>
      <c r="AQ308" s="104"/>
      <c r="AR308" s="104"/>
      <c r="AS308" s="104"/>
      <c r="AT308" s="104"/>
      <c r="AU308" s="104"/>
      <c r="AV308" s="104"/>
      <c r="AW308" s="104"/>
      <c r="AX308" s="104"/>
      <c r="AY308" s="104"/>
      <c r="AZ308" s="104"/>
      <c r="BA308" s="104"/>
      <c r="BB308" s="104"/>
      <c r="BC308" s="104"/>
    </row>
    <row r="309" spans="1:55" s="4" customFormat="1">
      <c r="A309" s="14"/>
      <c r="B309" s="1"/>
      <c r="C309" s="14"/>
      <c r="D309" s="1"/>
      <c r="E309" s="104"/>
      <c r="F309" s="102"/>
      <c r="G309" s="102"/>
      <c r="H309" s="102"/>
      <c r="I309" s="102"/>
      <c r="J309" s="102"/>
      <c r="K309" s="102"/>
      <c r="L309" s="102"/>
      <c r="M309" s="102"/>
      <c r="N309" s="102"/>
      <c r="O309" s="102"/>
      <c r="P309" s="102"/>
      <c r="Q309" s="102"/>
      <c r="R309" s="102"/>
      <c r="S309" s="102"/>
      <c r="T309" s="102"/>
      <c r="U309" s="102"/>
      <c r="V309" s="102"/>
      <c r="W309" s="102"/>
      <c r="X309" s="104"/>
      <c r="Y309" s="104"/>
      <c r="Z309" s="104"/>
      <c r="AA309" s="104"/>
      <c r="AB309" s="104"/>
      <c r="AC309" s="104"/>
      <c r="AD309" s="104"/>
      <c r="AE309" s="104"/>
      <c r="AF309" s="104"/>
      <c r="AG309" s="111"/>
      <c r="AH309" s="111"/>
      <c r="AI309" s="111"/>
      <c r="AJ309" s="111"/>
      <c r="AK309" s="111"/>
      <c r="AL309" s="102"/>
      <c r="AM309" s="111"/>
      <c r="AN309" s="104"/>
      <c r="AO309" s="104"/>
      <c r="AP309" s="104"/>
      <c r="AQ309" s="104"/>
      <c r="AR309" s="104"/>
      <c r="AS309" s="104"/>
      <c r="AT309" s="104"/>
      <c r="AU309" s="104"/>
      <c r="AV309" s="104"/>
      <c r="AW309" s="104"/>
      <c r="AX309" s="104"/>
      <c r="AY309" s="104"/>
      <c r="AZ309" s="104"/>
      <c r="BA309" s="104"/>
      <c r="BB309" s="104"/>
      <c r="BC309" s="104"/>
    </row>
    <row r="310" spans="1:55" s="4" customFormat="1">
      <c r="A310" s="14"/>
      <c r="B310" s="1"/>
      <c r="C310" s="14"/>
      <c r="D310" s="1"/>
      <c r="E310" s="104"/>
      <c r="F310" s="102"/>
      <c r="G310" s="102"/>
      <c r="H310" s="102"/>
      <c r="I310" s="102"/>
      <c r="J310" s="102"/>
      <c r="K310" s="102"/>
      <c r="L310" s="102"/>
      <c r="M310" s="102"/>
      <c r="N310" s="102"/>
      <c r="O310" s="102"/>
      <c r="P310" s="102"/>
      <c r="Q310" s="102"/>
      <c r="R310" s="102"/>
      <c r="S310" s="102"/>
      <c r="T310" s="102"/>
      <c r="U310" s="102"/>
      <c r="V310" s="102"/>
      <c r="W310" s="102"/>
      <c r="X310" s="104"/>
      <c r="Y310" s="104"/>
      <c r="Z310" s="104"/>
      <c r="AA310" s="104"/>
      <c r="AB310" s="104"/>
      <c r="AC310" s="104"/>
      <c r="AD310" s="104"/>
      <c r="AE310" s="104"/>
      <c r="AF310" s="104"/>
      <c r="AG310" s="111"/>
      <c r="AH310" s="111"/>
      <c r="AI310" s="111"/>
      <c r="AJ310" s="111"/>
      <c r="AK310" s="111"/>
      <c r="AL310" s="102"/>
      <c r="AM310" s="111"/>
      <c r="AN310" s="104"/>
      <c r="AO310" s="104"/>
      <c r="AP310" s="104"/>
      <c r="AQ310" s="104"/>
      <c r="AR310" s="104"/>
      <c r="AS310" s="104"/>
      <c r="AT310" s="104"/>
      <c r="AU310" s="104"/>
      <c r="AV310" s="104"/>
      <c r="AW310" s="104"/>
      <c r="AX310" s="104"/>
      <c r="AY310" s="104"/>
      <c r="AZ310" s="104"/>
      <c r="BA310" s="104"/>
      <c r="BB310" s="104"/>
      <c r="BC310" s="104"/>
    </row>
    <row r="311" spans="1:55" s="4" customFormat="1">
      <c r="A311" s="14"/>
      <c r="B311" s="1"/>
      <c r="C311" s="14"/>
      <c r="D311" s="1"/>
      <c r="E311" s="104"/>
      <c r="F311" s="102"/>
      <c r="G311" s="102"/>
      <c r="H311" s="102"/>
      <c r="I311" s="102"/>
      <c r="J311" s="102"/>
      <c r="K311" s="102"/>
      <c r="L311" s="102"/>
      <c r="M311" s="102"/>
      <c r="N311" s="102"/>
      <c r="O311" s="102"/>
      <c r="P311" s="102"/>
      <c r="Q311" s="102"/>
      <c r="R311" s="102"/>
      <c r="S311" s="102"/>
      <c r="T311" s="102"/>
      <c r="U311" s="102"/>
      <c r="V311" s="102"/>
      <c r="W311" s="102"/>
      <c r="X311" s="104"/>
      <c r="Y311" s="104"/>
      <c r="Z311" s="104"/>
      <c r="AA311" s="104"/>
      <c r="AB311" s="104"/>
      <c r="AC311" s="104"/>
      <c r="AD311" s="104"/>
      <c r="AE311" s="104"/>
      <c r="AF311" s="104"/>
      <c r="AG311" s="111"/>
      <c r="AH311" s="111"/>
      <c r="AI311" s="111"/>
      <c r="AJ311" s="111"/>
      <c r="AK311" s="111"/>
      <c r="AL311" s="102"/>
      <c r="AM311" s="111"/>
      <c r="AN311" s="104"/>
      <c r="AO311" s="104"/>
      <c r="AP311" s="104"/>
      <c r="AQ311" s="104"/>
      <c r="AR311" s="104"/>
      <c r="AS311" s="104"/>
      <c r="AT311" s="104"/>
      <c r="AU311" s="104"/>
      <c r="AV311" s="104"/>
      <c r="AW311" s="104"/>
      <c r="AX311" s="104"/>
      <c r="AY311" s="104"/>
      <c r="AZ311" s="104"/>
      <c r="BA311" s="104"/>
      <c r="BB311" s="104"/>
      <c r="BC311" s="104"/>
    </row>
    <row r="312" spans="1:55" s="4" customFormat="1">
      <c r="A312" s="14"/>
      <c r="B312" s="1"/>
      <c r="C312" s="14"/>
      <c r="D312" s="1"/>
      <c r="E312" s="104"/>
      <c r="F312" s="102"/>
      <c r="G312" s="102"/>
      <c r="H312" s="102"/>
      <c r="I312" s="102"/>
      <c r="J312" s="102"/>
      <c r="K312" s="102"/>
      <c r="L312" s="102"/>
      <c r="M312" s="102"/>
      <c r="N312" s="102"/>
      <c r="O312" s="102"/>
      <c r="P312" s="102"/>
      <c r="Q312" s="102"/>
      <c r="R312" s="102"/>
      <c r="S312" s="102"/>
      <c r="T312" s="102"/>
      <c r="U312" s="102"/>
      <c r="V312" s="102"/>
      <c r="W312" s="102"/>
      <c r="X312" s="104"/>
      <c r="Y312" s="104"/>
      <c r="Z312" s="104"/>
      <c r="AA312" s="104"/>
      <c r="AB312" s="104"/>
      <c r="AC312" s="104"/>
      <c r="AD312" s="104"/>
      <c r="AE312" s="104"/>
      <c r="AF312" s="104"/>
      <c r="AG312" s="111"/>
      <c r="AH312" s="111"/>
      <c r="AI312" s="111"/>
      <c r="AJ312" s="111"/>
      <c r="AK312" s="111"/>
      <c r="AL312" s="102"/>
      <c r="AM312" s="111"/>
      <c r="AN312" s="104"/>
      <c r="AO312" s="104"/>
      <c r="AP312" s="104"/>
      <c r="AQ312" s="104"/>
      <c r="AR312" s="104"/>
      <c r="AS312" s="104"/>
      <c r="AT312" s="104"/>
      <c r="AU312" s="104"/>
      <c r="AV312" s="104"/>
      <c r="AW312" s="104"/>
      <c r="AX312" s="104"/>
      <c r="AY312" s="104"/>
      <c r="AZ312" s="104"/>
      <c r="BA312" s="104"/>
      <c r="BB312" s="104"/>
      <c r="BC312" s="104"/>
    </row>
    <row r="313" spans="1:55" s="4" customFormat="1">
      <c r="A313" s="14"/>
      <c r="B313" s="1"/>
      <c r="C313" s="14"/>
      <c r="D313" s="1"/>
      <c r="E313" s="104"/>
      <c r="F313" s="102"/>
      <c r="G313" s="102"/>
      <c r="H313" s="102"/>
      <c r="I313" s="102"/>
      <c r="J313" s="102"/>
      <c r="K313" s="102"/>
      <c r="L313" s="102"/>
      <c r="M313" s="102"/>
      <c r="N313" s="102"/>
      <c r="O313" s="102"/>
      <c r="P313" s="102"/>
      <c r="Q313" s="102"/>
      <c r="R313" s="102"/>
      <c r="S313" s="102"/>
      <c r="T313" s="102"/>
      <c r="U313" s="102"/>
      <c r="V313" s="102"/>
      <c r="W313" s="102"/>
      <c r="X313" s="104"/>
      <c r="Y313" s="104"/>
      <c r="Z313" s="104"/>
      <c r="AA313" s="104"/>
      <c r="AB313" s="104"/>
      <c r="AC313" s="104"/>
      <c r="AD313" s="104"/>
      <c r="AE313" s="104"/>
      <c r="AF313" s="104"/>
      <c r="AG313" s="111"/>
      <c r="AH313" s="111"/>
      <c r="AI313" s="111"/>
      <c r="AJ313" s="111"/>
      <c r="AK313" s="111"/>
      <c r="AL313" s="102"/>
      <c r="AM313" s="111"/>
      <c r="AN313" s="104"/>
      <c r="AO313" s="104"/>
      <c r="AP313" s="104"/>
      <c r="AQ313" s="104"/>
      <c r="AR313" s="104"/>
      <c r="AS313" s="104"/>
      <c r="AT313" s="104"/>
      <c r="AU313" s="104"/>
      <c r="AV313" s="104"/>
      <c r="AW313" s="104"/>
      <c r="AX313" s="104"/>
      <c r="AY313" s="104"/>
      <c r="AZ313" s="104"/>
      <c r="BA313" s="104"/>
      <c r="BB313" s="104"/>
      <c r="BC313" s="104"/>
    </row>
    <row r="314" spans="1:55" s="4" customFormat="1">
      <c r="A314" s="14"/>
      <c r="B314" s="1"/>
      <c r="C314" s="14"/>
      <c r="D314" s="1"/>
      <c r="E314" s="104"/>
      <c r="F314" s="102"/>
      <c r="G314" s="102"/>
      <c r="H314" s="102"/>
      <c r="I314" s="102"/>
      <c r="J314" s="102"/>
      <c r="K314" s="102"/>
      <c r="L314" s="102"/>
      <c r="M314" s="102"/>
      <c r="N314" s="102"/>
      <c r="O314" s="102"/>
      <c r="P314" s="102"/>
      <c r="Q314" s="102"/>
      <c r="R314" s="102"/>
      <c r="S314" s="102"/>
      <c r="T314" s="102"/>
      <c r="U314" s="102"/>
      <c r="V314" s="102"/>
      <c r="W314" s="102"/>
      <c r="X314" s="104"/>
      <c r="Y314" s="104"/>
      <c r="Z314" s="104"/>
      <c r="AA314" s="104"/>
      <c r="AB314" s="104"/>
      <c r="AC314" s="104"/>
      <c r="AD314" s="104"/>
      <c r="AE314" s="104"/>
      <c r="AF314" s="104"/>
      <c r="AG314" s="111"/>
      <c r="AH314" s="111"/>
      <c r="AI314" s="111"/>
      <c r="AJ314" s="111"/>
      <c r="AK314" s="111"/>
      <c r="AL314" s="102"/>
      <c r="AM314" s="111"/>
      <c r="AN314" s="104"/>
      <c r="AO314" s="104"/>
      <c r="AP314" s="104"/>
      <c r="AQ314" s="104"/>
      <c r="AR314" s="104"/>
      <c r="AS314" s="104"/>
      <c r="AT314" s="104"/>
      <c r="AU314" s="104"/>
      <c r="AV314" s="104"/>
      <c r="AW314" s="104"/>
      <c r="AX314" s="104"/>
      <c r="AY314" s="104"/>
      <c r="AZ314" s="104"/>
      <c r="BA314" s="104"/>
      <c r="BB314" s="104"/>
      <c r="BC314" s="104"/>
    </row>
    <row r="315" spans="1:55" s="4" customFormat="1">
      <c r="A315" s="14"/>
      <c r="B315" s="1"/>
      <c r="C315" s="14"/>
      <c r="D315" s="1"/>
      <c r="E315" s="104"/>
      <c r="F315" s="102"/>
      <c r="G315" s="102"/>
      <c r="H315" s="102"/>
      <c r="I315" s="102"/>
      <c r="J315" s="102"/>
      <c r="K315" s="102"/>
      <c r="L315" s="102"/>
      <c r="M315" s="102"/>
      <c r="N315" s="102"/>
      <c r="O315" s="102"/>
      <c r="P315" s="102"/>
      <c r="Q315" s="102"/>
      <c r="R315" s="102"/>
      <c r="S315" s="102"/>
      <c r="T315" s="102"/>
      <c r="U315" s="102"/>
      <c r="V315" s="102"/>
      <c r="W315" s="102"/>
      <c r="X315" s="104"/>
      <c r="Y315" s="104"/>
      <c r="Z315" s="104"/>
      <c r="AA315" s="104"/>
      <c r="AB315" s="104"/>
      <c r="AC315" s="104"/>
      <c r="AD315" s="104"/>
      <c r="AE315" s="104"/>
      <c r="AF315" s="104"/>
      <c r="AG315" s="111"/>
      <c r="AH315" s="111"/>
      <c r="AI315" s="111"/>
      <c r="AJ315" s="111"/>
      <c r="AK315" s="111"/>
      <c r="AL315" s="102"/>
      <c r="AM315" s="111"/>
      <c r="AN315" s="104"/>
      <c r="AO315" s="104"/>
      <c r="AP315" s="104"/>
      <c r="AQ315" s="104"/>
      <c r="AR315" s="104"/>
      <c r="AS315" s="104"/>
      <c r="AT315" s="104"/>
      <c r="AU315" s="104"/>
      <c r="AV315" s="104"/>
      <c r="AW315" s="104"/>
      <c r="AX315" s="104"/>
      <c r="AY315" s="104"/>
      <c r="AZ315" s="104"/>
      <c r="BA315" s="104"/>
      <c r="BB315" s="104"/>
      <c r="BC315" s="104"/>
    </row>
    <row r="316" spans="1:55" s="4" customFormat="1">
      <c r="A316" s="14"/>
      <c r="B316" s="1"/>
      <c r="C316" s="14"/>
      <c r="D316" s="1"/>
      <c r="E316" s="104"/>
      <c r="F316" s="102"/>
      <c r="G316" s="102"/>
      <c r="H316" s="102"/>
      <c r="I316" s="102"/>
      <c r="J316" s="102"/>
      <c r="K316" s="102"/>
      <c r="L316" s="102"/>
      <c r="M316" s="102"/>
      <c r="N316" s="102"/>
      <c r="O316" s="102"/>
      <c r="P316" s="102"/>
      <c r="Q316" s="102"/>
      <c r="R316" s="102"/>
      <c r="S316" s="102"/>
      <c r="T316" s="102"/>
      <c r="U316" s="102"/>
      <c r="V316" s="102"/>
      <c r="W316" s="102"/>
      <c r="X316" s="104"/>
      <c r="Y316" s="104"/>
      <c r="Z316" s="104"/>
      <c r="AA316" s="104"/>
      <c r="AB316" s="104"/>
      <c r="AC316" s="104"/>
      <c r="AD316" s="104"/>
      <c r="AE316" s="104"/>
      <c r="AF316" s="104"/>
      <c r="AG316" s="111"/>
      <c r="AH316" s="111"/>
      <c r="AI316" s="111"/>
      <c r="AJ316" s="111"/>
      <c r="AK316" s="111"/>
      <c r="AL316" s="102"/>
      <c r="AM316" s="111"/>
      <c r="AN316" s="104"/>
      <c r="AO316" s="104"/>
      <c r="AP316" s="104"/>
      <c r="AQ316" s="104"/>
      <c r="AR316" s="104"/>
      <c r="AS316" s="104"/>
      <c r="AT316" s="104"/>
      <c r="AU316" s="104"/>
      <c r="AV316" s="104"/>
      <c r="AW316" s="104"/>
      <c r="AX316" s="104"/>
      <c r="AY316" s="104"/>
      <c r="AZ316" s="104"/>
      <c r="BA316" s="104"/>
      <c r="BB316" s="104"/>
      <c r="BC316" s="104"/>
    </row>
    <row r="317" spans="1:55" s="4" customFormat="1">
      <c r="A317" s="14"/>
      <c r="B317" s="1"/>
      <c r="C317" s="14"/>
      <c r="D317" s="1"/>
      <c r="E317" s="104"/>
      <c r="F317" s="102"/>
      <c r="G317" s="102"/>
      <c r="H317" s="102"/>
      <c r="I317" s="102"/>
      <c r="J317" s="102"/>
      <c r="K317" s="102"/>
      <c r="L317" s="102"/>
      <c r="M317" s="102"/>
      <c r="N317" s="102"/>
      <c r="O317" s="102"/>
      <c r="P317" s="102"/>
      <c r="Q317" s="102"/>
      <c r="R317" s="102"/>
      <c r="S317" s="102"/>
      <c r="T317" s="102"/>
      <c r="U317" s="102"/>
      <c r="V317" s="102"/>
      <c r="W317" s="102"/>
      <c r="X317" s="104"/>
      <c r="Y317" s="104"/>
      <c r="Z317" s="104"/>
      <c r="AA317" s="104"/>
      <c r="AB317" s="104"/>
      <c r="AC317" s="104"/>
      <c r="AD317" s="104"/>
      <c r="AE317" s="104"/>
      <c r="AF317" s="104"/>
      <c r="AG317" s="111"/>
      <c r="AH317" s="111"/>
      <c r="AI317" s="111"/>
      <c r="AJ317" s="111"/>
      <c r="AK317" s="111"/>
      <c r="AL317" s="102"/>
      <c r="AM317" s="111"/>
      <c r="AN317" s="104"/>
      <c r="AO317" s="104"/>
      <c r="AP317" s="104"/>
      <c r="AQ317" s="104"/>
      <c r="AR317" s="104"/>
      <c r="AS317" s="104"/>
      <c r="AT317" s="104"/>
      <c r="AU317" s="104"/>
      <c r="AV317" s="104"/>
      <c r="AW317" s="104"/>
      <c r="AX317" s="104"/>
      <c r="AY317" s="104"/>
      <c r="AZ317" s="104"/>
      <c r="BA317" s="104"/>
      <c r="BB317" s="104"/>
      <c r="BC317" s="104"/>
    </row>
    <row r="318" spans="1:55" s="4" customFormat="1">
      <c r="A318" s="14"/>
      <c r="B318" s="1"/>
      <c r="C318" s="14"/>
      <c r="D318" s="1"/>
      <c r="E318" s="104"/>
      <c r="F318" s="102"/>
      <c r="G318" s="102"/>
      <c r="H318" s="102"/>
      <c r="I318" s="102"/>
      <c r="J318" s="102"/>
      <c r="K318" s="102"/>
      <c r="L318" s="102"/>
      <c r="M318" s="102"/>
      <c r="N318" s="102"/>
      <c r="O318" s="102"/>
      <c r="P318" s="102"/>
      <c r="Q318" s="102"/>
      <c r="R318" s="102"/>
      <c r="S318" s="102"/>
      <c r="T318" s="102"/>
      <c r="U318" s="102"/>
      <c r="V318" s="102"/>
      <c r="W318" s="102"/>
      <c r="X318" s="104"/>
      <c r="Y318" s="104"/>
      <c r="Z318" s="104"/>
      <c r="AA318" s="104"/>
      <c r="AB318" s="104"/>
      <c r="AC318" s="104"/>
      <c r="AD318" s="104"/>
      <c r="AE318" s="104"/>
      <c r="AF318" s="104"/>
      <c r="AG318" s="111"/>
      <c r="AH318" s="111"/>
      <c r="AI318" s="111"/>
      <c r="AJ318" s="111"/>
      <c r="AK318" s="111"/>
      <c r="AL318" s="102"/>
      <c r="AM318" s="111"/>
      <c r="AN318" s="104"/>
      <c r="AO318" s="104"/>
      <c r="AP318" s="104"/>
      <c r="AQ318" s="104"/>
      <c r="AR318" s="104"/>
      <c r="AS318" s="104"/>
      <c r="AT318" s="104"/>
      <c r="AU318" s="104"/>
      <c r="AV318" s="104"/>
      <c r="AW318" s="104"/>
      <c r="AX318" s="104"/>
      <c r="AY318" s="104"/>
      <c r="AZ318" s="104"/>
      <c r="BA318" s="104"/>
      <c r="BB318" s="104"/>
      <c r="BC318" s="104"/>
    </row>
    <row r="319" spans="1:55" s="4" customFormat="1">
      <c r="A319" s="14"/>
      <c r="B319" s="1"/>
      <c r="C319" s="14"/>
      <c r="D319" s="1"/>
      <c r="E319" s="104"/>
      <c r="F319" s="102"/>
      <c r="G319" s="102"/>
      <c r="H319" s="102"/>
      <c r="I319" s="102"/>
      <c r="J319" s="102"/>
      <c r="K319" s="102"/>
      <c r="L319" s="102"/>
      <c r="M319" s="102"/>
      <c r="N319" s="102"/>
      <c r="O319" s="102"/>
      <c r="P319" s="102"/>
      <c r="Q319" s="102"/>
      <c r="R319" s="102"/>
      <c r="S319" s="102"/>
      <c r="T319" s="102"/>
      <c r="U319" s="102"/>
      <c r="V319" s="102"/>
      <c r="W319" s="102"/>
      <c r="X319" s="104"/>
      <c r="Y319" s="104"/>
      <c r="Z319" s="104"/>
      <c r="AA319" s="104"/>
      <c r="AB319" s="104"/>
      <c r="AC319" s="104"/>
      <c r="AD319" s="104"/>
      <c r="AE319" s="104"/>
      <c r="AF319" s="104"/>
      <c r="AG319" s="111"/>
      <c r="AH319" s="111"/>
      <c r="AI319" s="111"/>
      <c r="AJ319" s="111"/>
      <c r="AK319" s="111"/>
      <c r="AL319" s="102"/>
      <c r="AM319" s="111"/>
      <c r="AN319" s="104"/>
      <c r="AO319" s="104"/>
      <c r="AP319" s="104"/>
      <c r="AQ319" s="104"/>
      <c r="AR319" s="104"/>
      <c r="AS319" s="104"/>
      <c r="AT319" s="104"/>
      <c r="AU319" s="104"/>
      <c r="AV319" s="104"/>
      <c r="AW319" s="104"/>
      <c r="AX319" s="104"/>
      <c r="AY319" s="104"/>
      <c r="AZ319" s="104"/>
      <c r="BA319" s="104"/>
      <c r="BB319" s="104"/>
      <c r="BC319" s="104"/>
    </row>
    <row r="320" spans="1:55" s="4" customFormat="1">
      <c r="A320" s="14"/>
      <c r="B320" s="1"/>
      <c r="C320" s="14"/>
      <c r="D320" s="1"/>
      <c r="E320" s="104"/>
      <c r="F320" s="102"/>
      <c r="G320" s="102"/>
      <c r="H320" s="102"/>
      <c r="I320" s="102"/>
      <c r="J320" s="102"/>
      <c r="K320" s="102"/>
      <c r="L320" s="102"/>
      <c r="M320" s="102"/>
      <c r="N320" s="102"/>
      <c r="O320" s="102"/>
      <c r="P320" s="102"/>
      <c r="Q320" s="102"/>
      <c r="R320" s="102"/>
      <c r="S320" s="102"/>
      <c r="T320" s="102"/>
      <c r="U320" s="102"/>
      <c r="V320" s="102"/>
      <c r="W320" s="102"/>
      <c r="X320" s="104"/>
      <c r="Y320" s="104"/>
      <c r="Z320" s="104"/>
      <c r="AA320" s="104"/>
      <c r="AB320" s="104"/>
      <c r="AC320" s="104"/>
      <c r="AD320" s="104"/>
      <c r="AE320" s="104"/>
      <c r="AF320" s="104"/>
      <c r="AG320" s="111"/>
      <c r="AH320" s="111"/>
      <c r="AI320" s="111"/>
      <c r="AJ320" s="111"/>
      <c r="AK320" s="111"/>
      <c r="AL320" s="102"/>
      <c r="AM320" s="111"/>
      <c r="AN320" s="104"/>
      <c r="AO320" s="104"/>
      <c r="AP320" s="104"/>
      <c r="AQ320" s="104"/>
      <c r="AR320" s="104"/>
      <c r="AS320" s="104"/>
      <c r="AT320" s="104"/>
      <c r="AU320" s="104"/>
      <c r="AV320" s="104"/>
      <c r="AW320" s="104"/>
      <c r="AX320" s="104"/>
      <c r="AY320" s="104"/>
      <c r="AZ320" s="104"/>
      <c r="BA320" s="104"/>
      <c r="BB320" s="104"/>
      <c r="BC320" s="104"/>
    </row>
    <row r="321" spans="1:55" s="4" customFormat="1">
      <c r="A321" s="14"/>
      <c r="B321" s="1"/>
      <c r="C321" s="14"/>
      <c r="D321" s="1"/>
      <c r="E321" s="104"/>
      <c r="F321" s="102"/>
      <c r="G321" s="102"/>
      <c r="H321" s="102"/>
      <c r="I321" s="102"/>
      <c r="J321" s="102"/>
      <c r="K321" s="102"/>
      <c r="L321" s="102"/>
      <c r="M321" s="102"/>
      <c r="N321" s="102"/>
      <c r="O321" s="102"/>
      <c r="P321" s="102"/>
      <c r="Q321" s="102"/>
      <c r="R321" s="102"/>
      <c r="S321" s="102"/>
      <c r="T321" s="102"/>
      <c r="U321" s="102"/>
      <c r="V321" s="102"/>
      <c r="W321" s="102"/>
      <c r="X321" s="104"/>
      <c r="Y321" s="104"/>
      <c r="Z321" s="104"/>
      <c r="AA321" s="104"/>
      <c r="AB321" s="104"/>
      <c r="AC321" s="104"/>
      <c r="AD321" s="104"/>
      <c r="AE321" s="104"/>
      <c r="AF321" s="104"/>
      <c r="AG321" s="111"/>
      <c r="AH321" s="111"/>
      <c r="AI321" s="111"/>
      <c r="AJ321" s="111"/>
      <c r="AK321" s="111"/>
      <c r="AL321" s="102"/>
      <c r="AM321" s="111"/>
      <c r="AN321" s="104"/>
      <c r="AO321" s="104"/>
      <c r="AP321" s="104"/>
      <c r="AQ321" s="104"/>
      <c r="AR321" s="104"/>
      <c r="AS321" s="104"/>
      <c r="AT321" s="104"/>
      <c r="AU321" s="104"/>
      <c r="AV321" s="104"/>
      <c r="AW321" s="104"/>
      <c r="AX321" s="104"/>
      <c r="AY321" s="104"/>
      <c r="AZ321" s="104"/>
      <c r="BA321" s="104"/>
      <c r="BB321" s="104"/>
      <c r="BC321" s="104"/>
    </row>
    <row r="322" spans="1:55" s="4" customFormat="1">
      <c r="A322" s="14"/>
      <c r="B322" s="1"/>
      <c r="C322" s="14"/>
      <c r="D322" s="1"/>
      <c r="E322" s="104"/>
      <c r="F322" s="102"/>
      <c r="G322" s="102"/>
      <c r="H322" s="102"/>
      <c r="I322" s="102"/>
      <c r="J322" s="102"/>
      <c r="K322" s="102"/>
      <c r="L322" s="102"/>
      <c r="M322" s="102"/>
      <c r="N322" s="102"/>
      <c r="O322" s="102"/>
      <c r="P322" s="102"/>
      <c r="Q322" s="102"/>
      <c r="R322" s="102"/>
      <c r="S322" s="102"/>
      <c r="T322" s="102"/>
      <c r="U322" s="102"/>
      <c r="V322" s="102"/>
      <c r="W322" s="102"/>
      <c r="X322" s="104"/>
      <c r="Y322" s="104"/>
      <c r="Z322" s="104"/>
      <c r="AA322" s="104"/>
      <c r="AB322" s="104"/>
      <c r="AC322" s="104"/>
      <c r="AD322" s="104"/>
      <c r="AE322" s="104"/>
      <c r="AF322" s="104"/>
      <c r="AG322" s="111"/>
      <c r="AH322" s="111"/>
      <c r="AI322" s="111"/>
      <c r="AJ322" s="111"/>
      <c r="AK322" s="111"/>
      <c r="AL322" s="102"/>
      <c r="AM322" s="111"/>
      <c r="AN322" s="104"/>
      <c r="AO322" s="104"/>
      <c r="AP322" s="104"/>
      <c r="AQ322" s="104"/>
      <c r="AR322" s="104"/>
      <c r="AS322" s="104"/>
      <c r="AT322" s="104"/>
      <c r="AU322" s="104"/>
      <c r="AV322" s="104"/>
      <c r="AW322" s="104"/>
      <c r="AX322" s="104"/>
      <c r="AY322" s="104"/>
      <c r="AZ322" s="104"/>
      <c r="BA322" s="104"/>
      <c r="BB322" s="104"/>
      <c r="BC322" s="104"/>
    </row>
    <row r="323" spans="1:55" s="4" customFormat="1">
      <c r="A323" s="14"/>
      <c r="B323" s="1"/>
      <c r="C323" s="14"/>
      <c r="D323" s="1"/>
      <c r="E323" s="104"/>
      <c r="F323" s="102"/>
      <c r="G323" s="102"/>
      <c r="H323" s="102"/>
      <c r="I323" s="102"/>
      <c r="J323" s="102"/>
      <c r="K323" s="102"/>
      <c r="L323" s="102"/>
      <c r="M323" s="102"/>
      <c r="N323" s="102"/>
      <c r="O323" s="102"/>
      <c r="P323" s="102"/>
      <c r="Q323" s="102"/>
      <c r="R323" s="102"/>
      <c r="S323" s="102"/>
      <c r="T323" s="102"/>
      <c r="U323" s="102"/>
      <c r="V323" s="102"/>
      <c r="W323" s="102"/>
      <c r="X323" s="104"/>
      <c r="Y323" s="104"/>
      <c r="Z323" s="104"/>
      <c r="AA323" s="104"/>
      <c r="AB323" s="104"/>
      <c r="AC323" s="104"/>
      <c r="AD323" s="104"/>
      <c r="AE323" s="104"/>
      <c r="AF323" s="104"/>
      <c r="AG323" s="111"/>
      <c r="AH323" s="111"/>
      <c r="AI323" s="111"/>
      <c r="AJ323" s="111"/>
      <c r="AK323" s="111"/>
      <c r="AL323" s="102"/>
      <c r="AM323" s="111"/>
      <c r="AN323" s="104"/>
      <c r="AO323" s="104"/>
      <c r="AP323" s="104"/>
      <c r="AQ323" s="104"/>
      <c r="AR323" s="104"/>
      <c r="AS323" s="104"/>
      <c r="AT323" s="104"/>
      <c r="AU323" s="104"/>
      <c r="AV323" s="104"/>
      <c r="AW323" s="104"/>
      <c r="AX323" s="104"/>
      <c r="AY323" s="104"/>
      <c r="AZ323" s="104"/>
      <c r="BA323" s="104"/>
      <c r="BB323" s="104"/>
      <c r="BC323" s="104"/>
    </row>
    <row r="324" spans="1:55" s="4" customFormat="1">
      <c r="A324" s="14"/>
      <c r="B324" s="1"/>
      <c r="C324" s="14"/>
      <c r="D324" s="1"/>
      <c r="E324" s="104"/>
      <c r="F324" s="102"/>
      <c r="G324" s="102"/>
      <c r="H324" s="102"/>
      <c r="I324" s="102"/>
      <c r="J324" s="102"/>
      <c r="K324" s="102"/>
      <c r="L324" s="102"/>
      <c r="M324" s="102"/>
      <c r="N324" s="102"/>
      <c r="O324" s="102"/>
      <c r="P324" s="102"/>
      <c r="Q324" s="102"/>
      <c r="R324" s="102"/>
      <c r="S324" s="102"/>
      <c r="T324" s="102"/>
      <c r="U324" s="102"/>
      <c r="V324" s="102"/>
      <c r="W324" s="102"/>
      <c r="X324" s="104"/>
      <c r="Y324" s="104"/>
      <c r="Z324" s="104"/>
      <c r="AA324" s="104"/>
      <c r="AB324" s="104"/>
      <c r="AC324" s="104"/>
      <c r="AD324" s="104"/>
      <c r="AE324" s="104"/>
      <c r="AF324" s="104"/>
      <c r="AG324" s="111"/>
      <c r="AH324" s="111"/>
      <c r="AI324" s="111"/>
      <c r="AJ324" s="111"/>
      <c r="AK324" s="111"/>
      <c r="AL324" s="102"/>
      <c r="AM324" s="111"/>
      <c r="AN324" s="104"/>
      <c r="AO324" s="104"/>
      <c r="AP324" s="104"/>
      <c r="AQ324" s="104"/>
      <c r="AR324" s="104"/>
      <c r="AS324" s="104"/>
      <c r="AT324" s="104"/>
      <c r="AU324" s="104"/>
      <c r="AV324" s="104"/>
      <c r="AW324" s="104"/>
      <c r="AX324" s="104"/>
      <c r="AY324" s="104"/>
      <c r="AZ324" s="104"/>
      <c r="BA324" s="104"/>
      <c r="BB324" s="104"/>
      <c r="BC324" s="104"/>
    </row>
    <row r="325" spans="1:55" s="4" customFormat="1">
      <c r="A325" s="14"/>
      <c r="B325" s="1"/>
      <c r="C325" s="14"/>
      <c r="D325" s="1"/>
      <c r="E325" s="104"/>
      <c r="F325" s="102"/>
      <c r="G325" s="102"/>
      <c r="H325" s="102"/>
      <c r="I325" s="102"/>
      <c r="J325" s="102"/>
      <c r="K325" s="102"/>
      <c r="L325" s="102"/>
      <c r="M325" s="102"/>
      <c r="N325" s="102"/>
      <c r="O325" s="102"/>
      <c r="P325" s="102"/>
      <c r="Q325" s="102"/>
      <c r="R325" s="102"/>
      <c r="S325" s="102"/>
      <c r="T325" s="102"/>
      <c r="U325" s="102"/>
      <c r="V325" s="102"/>
      <c r="W325" s="102"/>
      <c r="X325" s="104"/>
      <c r="Y325" s="104"/>
      <c r="Z325" s="104"/>
      <c r="AA325" s="104"/>
      <c r="AB325" s="104"/>
      <c r="AC325" s="104"/>
      <c r="AD325" s="104"/>
      <c r="AE325" s="104"/>
      <c r="AF325" s="104"/>
      <c r="AG325" s="111"/>
      <c r="AH325" s="111"/>
      <c r="AI325" s="111"/>
      <c r="AJ325" s="111"/>
      <c r="AK325" s="111"/>
      <c r="AL325" s="102"/>
      <c r="AM325" s="111"/>
      <c r="AN325" s="104"/>
      <c r="AO325" s="104"/>
      <c r="AP325" s="104"/>
      <c r="AQ325" s="104"/>
      <c r="AR325" s="104"/>
      <c r="AS325" s="104"/>
      <c r="AT325" s="104"/>
      <c r="AU325" s="104"/>
      <c r="AV325" s="104"/>
      <c r="AW325" s="104"/>
      <c r="AX325" s="104"/>
      <c r="AY325" s="104"/>
      <c r="AZ325" s="104"/>
      <c r="BA325" s="104"/>
      <c r="BB325" s="104"/>
      <c r="BC325" s="104"/>
    </row>
    <row r="326" spans="1:55" s="4" customFormat="1">
      <c r="A326" s="14"/>
      <c r="B326" s="1"/>
      <c r="C326" s="14"/>
      <c r="D326" s="1"/>
      <c r="E326" s="104"/>
      <c r="F326" s="102"/>
      <c r="G326" s="102"/>
      <c r="H326" s="102"/>
      <c r="I326" s="102"/>
      <c r="J326" s="102"/>
      <c r="K326" s="102"/>
      <c r="L326" s="102"/>
      <c r="M326" s="102"/>
      <c r="N326" s="102"/>
      <c r="O326" s="102"/>
      <c r="P326" s="102"/>
      <c r="Q326" s="102"/>
      <c r="R326" s="102"/>
      <c r="S326" s="102"/>
      <c r="T326" s="102"/>
      <c r="U326" s="102"/>
      <c r="V326" s="102"/>
      <c r="W326" s="102"/>
      <c r="X326" s="104"/>
      <c r="Y326" s="104"/>
      <c r="Z326" s="104"/>
      <c r="AA326" s="104"/>
      <c r="AB326" s="104"/>
      <c r="AC326" s="104"/>
      <c r="AD326" s="104"/>
      <c r="AE326" s="104"/>
      <c r="AF326" s="104"/>
      <c r="AG326" s="111"/>
      <c r="AH326" s="111"/>
      <c r="AI326" s="111"/>
      <c r="AJ326" s="111"/>
      <c r="AK326" s="111"/>
      <c r="AL326" s="102"/>
      <c r="AM326" s="111"/>
      <c r="AN326" s="104"/>
      <c r="AO326" s="104"/>
      <c r="AP326" s="104"/>
      <c r="AQ326" s="104"/>
      <c r="AR326" s="104"/>
      <c r="AS326" s="104"/>
      <c r="AT326" s="104"/>
      <c r="AU326" s="104"/>
      <c r="AV326" s="104"/>
      <c r="AW326" s="104"/>
      <c r="AX326" s="104"/>
      <c r="AY326" s="104"/>
      <c r="AZ326" s="104"/>
      <c r="BA326" s="104"/>
      <c r="BB326" s="104"/>
      <c r="BC326" s="104"/>
    </row>
    <row r="327" spans="1:55" s="4" customFormat="1">
      <c r="A327" s="14"/>
      <c r="B327" s="1"/>
      <c r="C327" s="14"/>
      <c r="D327" s="1"/>
      <c r="E327" s="104"/>
      <c r="F327" s="102"/>
      <c r="G327" s="102"/>
      <c r="H327" s="102"/>
      <c r="I327" s="102"/>
      <c r="J327" s="102"/>
      <c r="K327" s="102"/>
      <c r="L327" s="102"/>
      <c r="M327" s="102"/>
      <c r="N327" s="102"/>
      <c r="O327" s="102"/>
      <c r="P327" s="102"/>
      <c r="Q327" s="102"/>
      <c r="R327" s="102"/>
      <c r="S327" s="102"/>
      <c r="T327" s="102"/>
      <c r="U327" s="102"/>
      <c r="V327" s="102"/>
      <c r="W327" s="102"/>
      <c r="X327" s="104"/>
      <c r="Y327" s="104"/>
      <c r="Z327" s="104"/>
      <c r="AA327" s="104"/>
      <c r="AB327" s="104"/>
      <c r="AC327" s="104"/>
      <c r="AD327" s="104"/>
      <c r="AE327" s="104"/>
      <c r="AF327" s="104"/>
      <c r="AG327" s="111"/>
      <c r="AH327" s="111"/>
      <c r="AI327" s="111"/>
      <c r="AJ327" s="111"/>
      <c r="AK327" s="111"/>
      <c r="AL327" s="102"/>
      <c r="AM327" s="111"/>
      <c r="AN327" s="104"/>
      <c r="AO327" s="104"/>
      <c r="AP327" s="104"/>
      <c r="AQ327" s="104"/>
      <c r="AR327" s="104"/>
      <c r="AS327" s="104"/>
      <c r="AT327" s="104"/>
      <c r="AU327" s="104"/>
      <c r="AV327" s="104"/>
      <c r="AW327" s="104"/>
      <c r="AX327" s="104"/>
      <c r="AY327" s="104"/>
      <c r="AZ327" s="104"/>
      <c r="BA327" s="104"/>
      <c r="BB327" s="104"/>
      <c r="BC327" s="104"/>
    </row>
    <row r="328" spans="1:55" s="4" customFormat="1">
      <c r="A328" s="14"/>
      <c r="B328" s="1"/>
      <c r="C328" s="14"/>
      <c r="D328" s="1"/>
      <c r="E328" s="104"/>
      <c r="F328" s="102"/>
      <c r="G328" s="102"/>
      <c r="H328" s="102"/>
      <c r="I328" s="102"/>
      <c r="J328" s="102"/>
      <c r="K328" s="102"/>
      <c r="L328" s="102"/>
      <c r="M328" s="102"/>
      <c r="N328" s="102"/>
      <c r="O328" s="102"/>
      <c r="P328" s="102"/>
      <c r="Q328" s="102"/>
      <c r="R328" s="102"/>
      <c r="S328" s="102"/>
      <c r="T328" s="102"/>
      <c r="U328" s="102"/>
      <c r="V328" s="102"/>
      <c r="W328" s="102"/>
      <c r="X328" s="104"/>
      <c r="Y328" s="104"/>
      <c r="Z328" s="104"/>
      <c r="AA328" s="104"/>
      <c r="AB328" s="104"/>
      <c r="AC328" s="104"/>
      <c r="AD328" s="104"/>
      <c r="AE328" s="104"/>
      <c r="AF328" s="104"/>
      <c r="AG328" s="111"/>
      <c r="AH328" s="111"/>
      <c r="AI328" s="111"/>
      <c r="AJ328" s="111"/>
      <c r="AK328" s="111"/>
      <c r="AL328" s="102"/>
      <c r="AM328" s="111"/>
      <c r="AN328" s="104"/>
      <c r="AO328" s="104"/>
      <c r="AP328" s="104"/>
      <c r="AQ328" s="104"/>
      <c r="AR328" s="104"/>
      <c r="AS328" s="104"/>
      <c r="AT328" s="104"/>
      <c r="AU328" s="104"/>
      <c r="AV328" s="104"/>
      <c r="AW328" s="104"/>
      <c r="AX328" s="104"/>
      <c r="AY328" s="104"/>
      <c r="AZ328" s="104"/>
      <c r="BA328" s="104"/>
      <c r="BB328" s="104"/>
      <c r="BC328" s="104"/>
    </row>
    <row r="329" spans="1:55" s="4" customFormat="1">
      <c r="A329" s="14"/>
      <c r="B329" s="1"/>
      <c r="C329" s="14"/>
      <c r="D329" s="1"/>
      <c r="E329" s="104"/>
      <c r="F329" s="102"/>
      <c r="G329" s="102"/>
      <c r="H329" s="102"/>
      <c r="I329" s="102"/>
      <c r="J329" s="102"/>
      <c r="K329" s="102"/>
      <c r="L329" s="102"/>
      <c r="M329" s="102"/>
      <c r="N329" s="102"/>
      <c r="O329" s="102"/>
      <c r="P329" s="102"/>
      <c r="Q329" s="102"/>
      <c r="R329" s="102"/>
      <c r="S329" s="102"/>
      <c r="T329" s="102"/>
      <c r="U329" s="102"/>
      <c r="V329" s="102"/>
      <c r="W329" s="102"/>
      <c r="X329" s="104"/>
      <c r="Y329" s="104"/>
      <c r="Z329" s="104"/>
      <c r="AA329" s="104"/>
      <c r="AB329" s="104"/>
      <c r="AC329" s="104"/>
      <c r="AD329" s="104"/>
      <c r="AE329" s="104"/>
      <c r="AF329" s="104"/>
      <c r="AG329" s="111"/>
      <c r="AH329" s="111"/>
      <c r="AI329" s="111"/>
      <c r="AJ329" s="111"/>
      <c r="AK329" s="111"/>
      <c r="AL329" s="102"/>
      <c r="AM329" s="111"/>
      <c r="AN329" s="104"/>
      <c r="AO329" s="104"/>
      <c r="AP329" s="104"/>
      <c r="AQ329" s="104"/>
      <c r="AR329" s="104"/>
      <c r="AS329" s="104"/>
      <c r="AT329" s="104"/>
      <c r="AU329" s="104"/>
      <c r="AV329" s="104"/>
      <c r="AW329" s="104"/>
      <c r="AX329" s="104"/>
      <c r="AY329" s="104"/>
      <c r="AZ329" s="104"/>
      <c r="BA329" s="104"/>
      <c r="BB329" s="104"/>
      <c r="BC329" s="104"/>
    </row>
    <row r="330" spans="1:55" s="104" customFormat="1">
      <c r="A330" s="1"/>
      <c r="B330" s="1"/>
      <c r="C330" s="2"/>
      <c r="D330" s="1"/>
      <c r="E330" s="7"/>
      <c r="F330" s="568" t="s">
        <v>39</v>
      </c>
      <c r="G330" s="568"/>
      <c r="H330" s="568"/>
      <c r="I330" s="568"/>
      <c r="J330" s="568"/>
      <c r="K330" s="568"/>
      <c r="L330" s="568"/>
      <c r="M330" s="568"/>
      <c r="N330" s="568"/>
      <c r="O330" s="568"/>
      <c r="P330" s="568"/>
      <c r="Q330" s="568"/>
      <c r="R330" s="568"/>
      <c r="S330" s="568"/>
      <c r="T330" s="568"/>
      <c r="U330" s="568"/>
      <c r="V330" s="568"/>
      <c r="W330" s="568"/>
      <c r="X330" s="7"/>
      <c r="Y330" s="7"/>
      <c r="Z330" s="7"/>
      <c r="AA330" s="7"/>
      <c r="AB330" s="7"/>
      <c r="AC330" s="7"/>
      <c r="AD330" s="7"/>
      <c r="AE330" s="7"/>
      <c r="AF330" s="7"/>
      <c r="AG330" s="7"/>
      <c r="AH330" s="7"/>
      <c r="AI330" s="7"/>
      <c r="AJ330" s="7"/>
      <c r="AK330" s="7"/>
      <c r="AL330" s="7"/>
      <c r="AM330" s="7"/>
    </row>
    <row r="331" spans="1:55" s="104" customFormat="1">
      <c r="A331" s="1"/>
      <c r="B331" s="1"/>
      <c r="C331" s="2"/>
      <c r="D331" s="1"/>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row>
    <row r="332" spans="1:55" s="104" customFormat="1">
      <c r="A332" s="1"/>
      <c r="B332" s="1"/>
      <c r="C332" s="2"/>
      <c r="D332" s="1"/>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row>
    <row r="333" spans="1:55" s="104" customFormat="1">
      <c r="A333" s="1"/>
      <c r="B333" s="1"/>
      <c r="C333" s="2"/>
      <c r="D333" s="1"/>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row>
    <row r="334" spans="1:55" s="104" customFormat="1">
      <c r="A334" s="1"/>
      <c r="B334" s="1"/>
      <c r="C334" s="2"/>
      <c r="D334" s="1"/>
      <c r="E334" s="7"/>
      <c r="F334" s="592" t="str">
        <f>F265</f>
        <v>Директор  Л.В. Коровьонкова</v>
      </c>
      <c r="G334" s="592"/>
      <c r="H334" s="592"/>
      <c r="I334" s="592"/>
      <c r="J334" s="592"/>
      <c r="K334" s="592"/>
      <c r="L334" s="592"/>
      <c r="M334" s="592"/>
      <c r="N334" s="592"/>
      <c r="O334" s="592"/>
      <c r="P334" s="592"/>
      <c r="Q334" s="592"/>
      <c r="Z334" s="592" t="str">
        <f>Z265</f>
        <v>Головний бухгалтер   О.В. Хижняк</v>
      </c>
      <c r="AA334" s="592"/>
      <c r="AB334" s="592"/>
      <c r="AC334" s="592"/>
      <c r="AD334" s="592"/>
      <c r="AE334" s="592"/>
      <c r="AF334" s="592"/>
      <c r="AG334" s="592"/>
      <c r="AH334" s="592"/>
      <c r="AI334" s="592"/>
      <c r="AJ334" s="592"/>
      <c r="AK334" s="592"/>
      <c r="AL334" s="7"/>
      <c r="AM334" s="7"/>
    </row>
    <row r="335" spans="1:55" s="104" customFormat="1">
      <c r="A335" s="1"/>
      <c r="B335" s="1"/>
      <c r="C335" s="2"/>
      <c r="D335" s="1"/>
      <c r="E335" s="7"/>
      <c r="F335" s="588"/>
      <c r="G335" s="588"/>
      <c r="H335" s="588"/>
      <c r="I335" s="588"/>
      <c r="J335" s="588"/>
      <c r="K335" s="588"/>
      <c r="L335" s="588"/>
      <c r="M335" s="588"/>
      <c r="N335" s="588"/>
      <c r="O335" s="588"/>
      <c r="P335" s="588"/>
      <c r="Q335" s="588"/>
      <c r="Z335" s="587"/>
      <c r="AA335" s="587"/>
      <c r="AB335" s="587"/>
      <c r="AC335" s="587"/>
      <c r="AD335" s="587"/>
      <c r="AE335" s="587"/>
      <c r="AF335" s="587"/>
      <c r="AG335" s="587"/>
      <c r="AH335" s="587"/>
      <c r="AI335" s="587"/>
      <c r="AJ335" s="587"/>
      <c r="AK335" s="587"/>
      <c r="AL335" s="7"/>
      <c r="AM335" s="7"/>
    </row>
    <row r="336" spans="1:55" s="4" customFormat="1">
      <c r="A336" s="14"/>
      <c r="B336" s="1"/>
      <c r="C336" s="14"/>
      <c r="D336" s="1"/>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568"/>
      <c r="AD336" s="568"/>
      <c r="AE336" s="568"/>
      <c r="AF336" s="104"/>
      <c r="AG336" s="568"/>
      <c r="AH336" s="568"/>
      <c r="AI336" s="568"/>
      <c r="AJ336" s="568"/>
      <c r="AK336" s="568"/>
      <c r="AL336" s="104"/>
      <c r="AM336" s="221"/>
      <c r="AN336" s="104"/>
      <c r="AO336" s="104"/>
      <c r="AP336" s="104"/>
      <c r="AQ336" s="104"/>
      <c r="AR336" s="104"/>
      <c r="AS336" s="104"/>
      <c r="AT336" s="104"/>
      <c r="AU336" s="104"/>
      <c r="AV336" s="104"/>
      <c r="AW336" s="104"/>
      <c r="AX336" s="104"/>
      <c r="AY336" s="104"/>
      <c r="AZ336" s="104"/>
      <c r="BA336" s="104"/>
      <c r="BB336" s="104"/>
      <c r="BC336" s="104"/>
    </row>
    <row r="337" spans="1:55" s="4" customFormat="1" ht="12.75" customHeight="1">
      <c r="A337" s="14"/>
      <c r="B337" s="1"/>
      <c r="C337" s="14"/>
      <c r="D337" s="1"/>
      <c r="E337" s="231"/>
      <c r="F337" s="743" t="s">
        <v>1464</v>
      </c>
      <c r="G337" s="743"/>
      <c r="H337" s="743"/>
      <c r="I337" s="743"/>
      <c r="J337" s="743"/>
      <c r="K337" s="743"/>
      <c r="L337" s="743"/>
      <c r="M337" s="743"/>
      <c r="N337" s="743"/>
      <c r="O337" s="743"/>
      <c r="P337" s="743"/>
      <c r="Q337" s="743"/>
      <c r="R337" s="743"/>
      <c r="S337" s="743"/>
      <c r="T337" s="743"/>
      <c r="U337" s="743"/>
      <c r="V337" s="743"/>
      <c r="W337" s="743"/>
      <c r="X337" s="743"/>
      <c r="Y337" s="743"/>
      <c r="Z337" s="743"/>
      <c r="AA337" s="743"/>
      <c r="AB337" s="743"/>
      <c r="AC337" s="743"/>
      <c r="AD337" s="743"/>
      <c r="AE337" s="743"/>
      <c r="AF337" s="743"/>
      <c r="AG337" s="743"/>
      <c r="AH337" s="743"/>
      <c r="AI337" s="743"/>
      <c r="AJ337" s="743"/>
      <c r="AK337" s="743"/>
      <c r="AL337" s="743"/>
      <c r="AM337" s="261"/>
      <c r="AN337" s="231"/>
      <c r="AO337" s="231"/>
      <c r="AP337" s="231"/>
      <c r="AQ337" s="231"/>
      <c r="AR337" s="231"/>
      <c r="AS337" s="231"/>
      <c r="AT337" s="231"/>
      <c r="AU337" s="231"/>
      <c r="AV337" s="231"/>
      <c r="AW337" s="231"/>
      <c r="AX337" s="231"/>
      <c r="AY337" s="231"/>
      <c r="AZ337" s="231"/>
      <c r="BA337" s="231"/>
      <c r="BB337" s="231"/>
      <c r="BC337" s="231"/>
    </row>
    <row r="338" spans="1:55" s="4" customFormat="1">
      <c r="A338" s="14"/>
      <c r="B338" s="1"/>
      <c r="C338" s="14"/>
      <c r="D338" s="1"/>
      <c r="E338" s="23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c r="AI338" s="221"/>
      <c r="AJ338" s="221"/>
      <c r="AK338" s="221"/>
      <c r="AL338" s="221"/>
      <c r="AM338" s="221"/>
      <c r="AN338" s="231"/>
      <c r="AO338" s="231"/>
      <c r="AP338" s="231"/>
      <c r="AQ338" s="231"/>
      <c r="AR338" s="231"/>
      <c r="AS338" s="231"/>
      <c r="AT338" s="231"/>
      <c r="AU338" s="231"/>
      <c r="AV338" s="231"/>
      <c r="AW338" s="231"/>
      <c r="AX338" s="231"/>
      <c r="AY338" s="231"/>
      <c r="AZ338" s="231"/>
      <c r="BA338" s="231"/>
      <c r="BB338" s="231"/>
      <c r="BC338" s="231"/>
    </row>
    <row r="339" spans="1:55" s="4" customFormat="1">
      <c r="A339" s="14"/>
      <c r="B339" s="1"/>
      <c r="C339" s="14"/>
      <c r="D339" s="1"/>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0" t="s">
        <v>24</v>
      </c>
      <c r="AK339" s="612">
        <f>AK271+1</f>
        <v>5</v>
      </c>
      <c r="AL339" s="612"/>
      <c r="AM339" s="100" t="s">
        <v>24</v>
      </c>
      <c r="AN339" s="104"/>
      <c r="AO339" s="104"/>
      <c r="AP339" s="104"/>
      <c r="AQ339" s="104"/>
      <c r="AR339" s="104"/>
      <c r="AS339" s="104"/>
      <c r="AT339" s="104"/>
      <c r="AU339" s="104"/>
      <c r="AV339" s="104"/>
      <c r="AW339" s="104"/>
      <c r="AX339" s="104"/>
      <c r="AY339" s="104"/>
      <c r="AZ339" s="104"/>
      <c r="BA339" s="104"/>
      <c r="BB339" s="104"/>
      <c r="BC339" s="104"/>
    </row>
    <row r="340" spans="1:55" s="4" customFormat="1">
      <c r="A340" s="14"/>
      <c r="B340" s="1"/>
      <c r="C340" s="14"/>
      <c r="D340" s="1"/>
      <c r="E340" s="366"/>
      <c r="F340" s="366"/>
      <c r="G340" s="366"/>
      <c r="H340" s="366"/>
      <c r="I340" s="366"/>
      <c r="J340" s="366"/>
      <c r="K340" s="366"/>
      <c r="L340" s="366"/>
      <c r="M340" s="366"/>
      <c r="N340" s="366"/>
      <c r="O340" s="366"/>
      <c r="P340" s="366"/>
      <c r="Q340" s="366"/>
      <c r="R340" s="366"/>
      <c r="S340" s="366"/>
      <c r="T340" s="366"/>
      <c r="U340" s="366"/>
      <c r="V340" s="366"/>
      <c r="W340" s="366"/>
      <c r="X340" s="366"/>
      <c r="Y340" s="366"/>
      <c r="Z340" s="366"/>
      <c r="AA340" s="366"/>
      <c r="AB340" s="366"/>
      <c r="AC340" s="366"/>
      <c r="AD340" s="366"/>
      <c r="AE340" s="366"/>
      <c r="AF340" s="366"/>
      <c r="AG340" s="366"/>
      <c r="AH340" s="366"/>
      <c r="AI340" s="366"/>
      <c r="AJ340" s="362"/>
      <c r="AK340" s="362"/>
      <c r="AL340" s="362"/>
      <c r="AM340" s="362"/>
      <c r="AN340" s="361"/>
      <c r="AO340" s="361"/>
      <c r="AP340" s="361"/>
      <c r="AQ340" s="361"/>
      <c r="AR340" s="361"/>
      <c r="AS340" s="361"/>
      <c r="AT340" s="361"/>
      <c r="AU340" s="361"/>
      <c r="AV340" s="361"/>
      <c r="AW340" s="361"/>
      <c r="AX340" s="361"/>
      <c r="AY340" s="361"/>
      <c r="AZ340" s="361"/>
      <c r="BA340" s="361"/>
      <c r="BB340" s="361"/>
      <c r="BC340" s="361"/>
    </row>
    <row r="341" spans="1:55" s="4" customFormat="1">
      <c r="A341" s="1"/>
      <c r="B341" s="1"/>
      <c r="C341" s="2"/>
      <c r="D341" s="1"/>
      <c r="E341" s="265" t="str">
        <f>UPPER($Y$28)</f>
        <v>ПТ ЛОМБАРД "МЕРКУРІЙ"</v>
      </c>
      <c r="F341" s="265"/>
      <c r="G341" s="265"/>
      <c r="H341" s="265"/>
      <c r="I341" s="265"/>
      <c r="J341" s="265"/>
      <c r="K341" s="265"/>
      <c r="L341" s="265"/>
      <c r="M341" s="265"/>
      <c r="N341" s="265"/>
      <c r="O341" s="265"/>
      <c r="P341" s="265"/>
      <c r="Q341" s="265"/>
      <c r="R341" s="265"/>
      <c r="S341" s="265"/>
      <c r="T341" s="265"/>
      <c r="U341" s="265"/>
      <c r="V341" s="265"/>
      <c r="W341" s="265"/>
      <c r="X341" s="265"/>
      <c r="Y341" s="265"/>
      <c r="Z341" s="265"/>
      <c r="AA341" s="265"/>
      <c r="AB341" s="265"/>
      <c r="AC341" s="265"/>
      <c r="AD341" s="265"/>
      <c r="AE341" s="265"/>
      <c r="AF341" s="265"/>
      <c r="AG341" s="265"/>
      <c r="AH341" s="265"/>
      <c r="AI341" s="265"/>
      <c r="AJ341" s="265"/>
      <c r="AK341" s="265"/>
      <c r="AL341" s="265"/>
      <c r="AM341" s="265"/>
      <c r="AN341" s="231"/>
      <c r="AO341" s="231"/>
      <c r="AP341" s="231"/>
      <c r="AQ341" s="231"/>
      <c r="AR341" s="231"/>
      <c r="AS341" s="231"/>
      <c r="AT341" s="231"/>
      <c r="AU341" s="231"/>
      <c r="AV341" s="231"/>
      <c r="AW341" s="231"/>
      <c r="AX341" s="231"/>
      <c r="AY341" s="231"/>
      <c r="AZ341" s="231"/>
      <c r="BA341" s="231"/>
      <c r="BB341" s="231"/>
      <c r="BC341" s="231"/>
    </row>
    <row r="342" spans="1:55" s="4" customFormat="1" ht="12.75" customHeight="1">
      <c r="A342" s="1"/>
      <c r="B342" s="1"/>
      <c r="C342" s="2"/>
      <c r="D342" s="1"/>
      <c r="E342" s="269" t="str">
        <f>UPPER($F$78)</f>
        <v>ЗВІТ ПРО ЗМІНИ У ВЛАСНОМУ КАПІТАЛІ</v>
      </c>
      <c r="F342" s="269"/>
      <c r="G342" s="269"/>
      <c r="H342" s="269"/>
      <c r="I342" s="269"/>
      <c r="J342" s="269"/>
      <c r="K342" s="269"/>
      <c r="L342" s="269"/>
      <c r="M342" s="269"/>
      <c r="N342" s="269"/>
      <c r="O342" s="269"/>
      <c r="P342" s="269"/>
      <c r="Q342" s="269"/>
      <c r="R342" s="269"/>
      <c r="S342" s="269"/>
      <c r="T342" s="269"/>
      <c r="U342" s="269"/>
      <c r="V342" s="269"/>
      <c r="W342" s="269"/>
      <c r="X342" s="269"/>
      <c r="Y342" s="269"/>
      <c r="Z342" s="269"/>
      <c r="AA342" s="269"/>
      <c r="AB342" s="269"/>
      <c r="AC342" s="269"/>
      <c r="AD342" s="269"/>
      <c r="AE342" s="269"/>
      <c r="AF342" s="269"/>
      <c r="AG342" s="269"/>
      <c r="AH342" s="269"/>
      <c r="AI342" s="269"/>
      <c r="AJ342" s="269"/>
      <c r="AK342" s="269"/>
      <c r="AL342" s="269"/>
      <c r="AM342" s="269"/>
      <c r="AN342" s="231"/>
      <c r="AO342" s="231"/>
      <c r="AP342" s="231"/>
      <c r="AQ342" s="231"/>
      <c r="AR342" s="231"/>
      <c r="AS342" s="231"/>
      <c r="AT342" s="231"/>
      <c r="AU342" s="231"/>
      <c r="AV342" s="231"/>
      <c r="AW342" s="231"/>
      <c r="AX342" s="231"/>
      <c r="AY342" s="231"/>
      <c r="AZ342" s="231"/>
      <c r="BA342" s="231"/>
      <c r="BB342" s="231"/>
      <c r="BC342" s="231"/>
    </row>
    <row r="343" spans="1:55" s="4" customFormat="1">
      <c r="A343" s="1"/>
      <c r="B343" s="1"/>
      <c r="C343" s="2"/>
      <c r="D343" s="1"/>
      <c r="E343" s="269" t="str">
        <f>$E$274</f>
        <v>ЗА РІК, ЩО ЗАКІНЧИВСЯ 31 ГРУДНЯ 2020 РОКУ</v>
      </c>
      <c r="F343" s="269"/>
      <c r="G343" s="269"/>
      <c r="H343" s="269"/>
      <c r="I343" s="269"/>
      <c r="J343" s="269"/>
      <c r="K343" s="269"/>
      <c r="L343" s="269"/>
      <c r="M343" s="269"/>
      <c r="N343" s="269"/>
      <c r="O343" s="269"/>
      <c r="P343" s="269"/>
      <c r="Q343" s="269"/>
      <c r="R343" s="269"/>
      <c r="S343" s="269"/>
      <c r="T343" s="269"/>
      <c r="U343" s="269"/>
      <c r="V343" s="269"/>
      <c r="W343" s="269"/>
      <c r="X343" s="269"/>
      <c r="Y343" s="269"/>
      <c r="Z343" s="269"/>
      <c r="AA343" s="269"/>
      <c r="AB343" s="269"/>
      <c r="AC343" s="269"/>
      <c r="AD343" s="269"/>
      <c r="AE343" s="269"/>
      <c r="AF343" s="269"/>
      <c r="AG343" s="269"/>
      <c r="AH343" s="269"/>
      <c r="AI343" s="269"/>
      <c r="AJ343" s="269"/>
      <c r="AK343" s="269"/>
      <c r="AL343" s="269"/>
      <c r="AM343" s="269"/>
      <c r="AN343" s="231"/>
      <c r="AO343" s="231"/>
      <c r="AP343" s="231"/>
      <c r="AQ343" s="231"/>
      <c r="AR343" s="231"/>
      <c r="AS343" s="231"/>
      <c r="AT343" s="231"/>
      <c r="AU343" s="231"/>
      <c r="AV343" s="231"/>
      <c r="AW343" s="231"/>
      <c r="AX343" s="231"/>
      <c r="AY343" s="231"/>
      <c r="AZ343" s="231"/>
      <c r="BA343" s="231"/>
      <c r="BB343" s="231"/>
      <c r="BC343" s="231"/>
    </row>
    <row r="344" spans="1:55" s="4" customFormat="1">
      <c r="A344" s="1"/>
      <c r="B344" s="1"/>
      <c r="C344" s="2"/>
      <c r="D344" s="1"/>
      <c r="E344" s="244" t="str">
        <f>$E$209</f>
        <v>(в тисячах гривень, якщо не вказано інше)</v>
      </c>
      <c r="F344" s="244"/>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31"/>
      <c r="AO344" s="231"/>
      <c r="AP344" s="231"/>
      <c r="AQ344" s="231"/>
      <c r="AR344" s="231"/>
      <c r="AS344" s="231"/>
      <c r="AT344" s="231"/>
      <c r="AU344" s="231"/>
      <c r="AV344" s="231"/>
      <c r="AW344" s="231"/>
      <c r="AX344" s="231"/>
      <c r="AY344" s="231"/>
      <c r="AZ344" s="231"/>
      <c r="BA344" s="231"/>
      <c r="BB344" s="231"/>
      <c r="BC344" s="231"/>
    </row>
    <row r="345" spans="1:55" s="104" customFormat="1">
      <c r="A345" s="1"/>
      <c r="B345" s="1"/>
      <c r="C345" s="2"/>
      <c r="D345" s="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12"/>
    </row>
    <row r="346" spans="1:55" s="104" customFormat="1" ht="12.75" customHeight="1">
      <c r="A346" s="1"/>
      <c r="B346" s="1"/>
      <c r="C346" s="2"/>
      <c r="D346" s="1"/>
      <c r="E346" s="121"/>
      <c r="F346" s="121"/>
      <c r="G346" s="121"/>
      <c r="H346" s="121"/>
      <c r="I346" s="121"/>
      <c r="J346" s="121"/>
      <c r="K346" s="121"/>
      <c r="L346" s="121"/>
      <c r="M346" s="121"/>
      <c r="N346" s="34"/>
      <c r="O346" s="18"/>
      <c r="P346" s="616" t="s">
        <v>64</v>
      </c>
      <c r="Q346" s="616"/>
      <c r="R346" s="616"/>
      <c r="S346" s="616"/>
      <c r="T346" s="83"/>
      <c r="U346" s="616" t="s">
        <v>118</v>
      </c>
      <c r="V346" s="616"/>
      <c r="W346" s="616"/>
      <c r="X346" s="616"/>
      <c r="Y346" s="83"/>
      <c r="Z346" s="614" t="s">
        <v>478</v>
      </c>
      <c r="AA346" s="614"/>
      <c r="AB346" s="614"/>
      <c r="AC346" s="614"/>
      <c r="AD346" s="84"/>
      <c r="AE346" s="614" t="s">
        <v>479</v>
      </c>
      <c r="AF346" s="614"/>
      <c r="AG346" s="614"/>
      <c r="AH346" s="614"/>
      <c r="AI346" s="84"/>
      <c r="AJ346" s="614" t="s">
        <v>119</v>
      </c>
      <c r="AK346" s="614"/>
      <c r="AL346" s="614"/>
      <c r="AM346" s="614"/>
    </row>
    <row r="347" spans="1:55" s="104" customFormat="1">
      <c r="A347" s="1"/>
      <c r="B347" s="1"/>
      <c r="C347" s="2"/>
      <c r="D347" s="1"/>
      <c r="E347" s="121"/>
      <c r="F347" s="121"/>
      <c r="G347" s="121"/>
      <c r="H347" s="121"/>
      <c r="I347" s="121"/>
      <c r="J347" s="121"/>
      <c r="K347" s="121"/>
      <c r="L347" s="121"/>
      <c r="M347" s="121"/>
      <c r="N347" s="34"/>
      <c r="O347" s="18"/>
      <c r="P347" s="616"/>
      <c r="Q347" s="616"/>
      <c r="R347" s="616"/>
      <c r="S347" s="616"/>
      <c r="T347" s="83"/>
      <c r="U347" s="616"/>
      <c r="V347" s="616"/>
      <c r="W347" s="616"/>
      <c r="X347" s="616"/>
      <c r="Y347" s="83"/>
      <c r="Z347" s="614"/>
      <c r="AA347" s="614"/>
      <c r="AB347" s="614"/>
      <c r="AC347" s="614"/>
      <c r="AD347" s="84"/>
      <c r="AE347" s="614"/>
      <c r="AF347" s="614"/>
      <c r="AG347" s="614"/>
      <c r="AH347" s="614"/>
      <c r="AI347" s="84"/>
      <c r="AJ347" s="614"/>
      <c r="AK347" s="614"/>
      <c r="AL347" s="614"/>
      <c r="AM347" s="614"/>
    </row>
    <row r="348" spans="1:55" s="104" customFormat="1">
      <c r="A348" s="1"/>
      <c r="B348" s="1"/>
      <c r="C348" s="2"/>
      <c r="D348" s="1"/>
      <c r="E348" s="18"/>
      <c r="F348" s="121"/>
      <c r="G348" s="121"/>
      <c r="H348" s="121"/>
      <c r="I348" s="121"/>
      <c r="J348" s="121"/>
      <c r="K348" s="121"/>
      <c r="L348" s="121"/>
      <c r="M348" s="121"/>
      <c r="N348" s="18"/>
      <c r="O348" s="18"/>
      <c r="P348" s="616"/>
      <c r="Q348" s="616"/>
      <c r="R348" s="616"/>
      <c r="S348" s="616"/>
      <c r="T348" s="85"/>
      <c r="U348" s="617"/>
      <c r="V348" s="617"/>
      <c r="W348" s="617"/>
      <c r="X348" s="617"/>
      <c r="Y348" s="85"/>
      <c r="Z348" s="615"/>
      <c r="AA348" s="615"/>
      <c r="AB348" s="615"/>
      <c r="AC348" s="615"/>
      <c r="AD348" s="86"/>
      <c r="AE348" s="615"/>
      <c r="AF348" s="615"/>
      <c r="AG348" s="615"/>
      <c r="AH348" s="615"/>
      <c r="AI348" s="86"/>
      <c r="AJ348" s="615"/>
      <c r="AK348" s="615"/>
      <c r="AL348" s="615"/>
      <c r="AM348" s="615"/>
    </row>
    <row r="349" spans="1:55" ht="15" hidden="1" customHeight="1" outlineLevel="1">
      <c r="E349" s="18"/>
      <c r="F349" s="633"/>
      <c r="G349" s="633"/>
      <c r="H349" s="633"/>
      <c r="I349" s="633"/>
      <c r="J349" s="633"/>
      <c r="K349" s="633"/>
      <c r="L349" s="633"/>
      <c r="M349" s="633"/>
      <c r="N349" s="633"/>
      <c r="O349" s="633"/>
      <c r="P349" s="633"/>
      <c r="Q349" s="633"/>
      <c r="R349" s="633"/>
      <c r="S349" s="618"/>
      <c r="T349" s="618"/>
      <c r="U349" s="618"/>
      <c r="V349" s="618"/>
      <c r="W349" s="618"/>
      <c r="X349" s="618"/>
      <c r="Y349" s="638"/>
      <c r="Z349" s="638"/>
      <c r="AA349" s="638"/>
      <c r="AB349" s="638"/>
      <c r="AC349" s="638"/>
      <c r="AD349" s="638"/>
      <c r="AE349" s="618"/>
      <c r="AF349" s="618"/>
      <c r="AG349" s="618"/>
      <c r="AH349" s="618"/>
      <c r="AI349" s="618"/>
      <c r="AJ349" s="618"/>
      <c r="AK349" s="618"/>
      <c r="AL349" s="618"/>
      <c r="AM349" s="618"/>
    </row>
    <row r="350" spans="1:55" ht="7.5" hidden="1" customHeight="1" outlineLevel="1">
      <c r="E350" s="18"/>
      <c r="F350" s="35"/>
      <c r="G350" s="35"/>
      <c r="H350" s="35"/>
      <c r="I350" s="35"/>
      <c r="J350" s="35"/>
      <c r="K350" s="35"/>
      <c r="L350" s="35"/>
      <c r="M350" s="35"/>
      <c r="N350" s="35"/>
      <c r="O350" s="35"/>
      <c r="P350" s="35"/>
      <c r="Q350" s="35"/>
      <c r="R350" s="35"/>
      <c r="S350" s="36"/>
      <c r="T350" s="36"/>
      <c r="U350" s="36"/>
      <c r="V350" s="36"/>
      <c r="W350" s="36"/>
      <c r="X350" s="36"/>
      <c r="Y350" s="36"/>
      <c r="Z350" s="36"/>
      <c r="AA350" s="36"/>
      <c r="AB350" s="36"/>
      <c r="AC350" s="36"/>
      <c r="AD350" s="36"/>
      <c r="AE350" s="36"/>
      <c r="AF350" s="36"/>
      <c r="AG350" s="36"/>
      <c r="AH350" s="36"/>
      <c r="AI350" s="36"/>
      <c r="AJ350" s="36"/>
      <c r="AK350" s="636"/>
      <c r="AL350" s="636"/>
      <c r="AM350" s="636"/>
    </row>
    <row r="351" spans="1:55" ht="15" hidden="1" customHeight="1" outlineLevel="1">
      <c r="E351" s="18"/>
      <c r="F351" s="629"/>
      <c r="G351" s="629"/>
      <c r="H351" s="629"/>
      <c r="I351" s="629"/>
      <c r="J351" s="629"/>
      <c r="K351" s="629"/>
      <c r="L351" s="629"/>
      <c r="M351" s="629"/>
      <c r="N351" s="629"/>
      <c r="O351" s="629"/>
      <c r="P351" s="629"/>
      <c r="Q351" s="629"/>
      <c r="R351" s="629"/>
      <c r="S351" s="627"/>
      <c r="T351" s="627"/>
      <c r="U351" s="627"/>
      <c r="V351" s="627"/>
      <c r="W351" s="627"/>
      <c r="X351" s="627"/>
      <c r="Y351" s="627"/>
      <c r="Z351" s="627"/>
      <c r="AA351" s="627"/>
      <c r="AB351" s="627"/>
      <c r="AC351" s="627"/>
      <c r="AD351" s="627"/>
      <c r="AE351" s="627"/>
      <c r="AF351" s="627"/>
      <c r="AG351" s="627"/>
      <c r="AH351" s="627"/>
      <c r="AI351" s="627"/>
      <c r="AJ351" s="627"/>
      <c r="AK351" s="627"/>
      <c r="AL351" s="627"/>
      <c r="AM351" s="627"/>
    </row>
    <row r="352" spans="1:55" ht="15" hidden="1" customHeight="1" outlineLevel="1">
      <c r="E352" s="18"/>
      <c r="F352" s="631"/>
      <c r="G352" s="631"/>
      <c r="H352" s="631"/>
      <c r="I352" s="631"/>
      <c r="J352" s="631"/>
      <c r="K352" s="631"/>
      <c r="L352" s="631"/>
      <c r="M352" s="631"/>
      <c r="N352" s="631"/>
      <c r="O352" s="631"/>
      <c r="P352" s="631"/>
      <c r="Q352" s="631"/>
      <c r="R352" s="631"/>
      <c r="S352" s="37"/>
      <c r="T352" s="37"/>
      <c r="U352" s="37"/>
      <c r="V352" s="37"/>
      <c r="W352" s="37"/>
      <c r="X352" s="37"/>
      <c r="Y352" s="37"/>
      <c r="Z352" s="37"/>
      <c r="AA352" s="37"/>
      <c r="AB352" s="37"/>
      <c r="AC352" s="37"/>
      <c r="AD352" s="37"/>
      <c r="AE352" s="37"/>
      <c r="AF352" s="37"/>
      <c r="AG352" s="37"/>
      <c r="AH352" s="37"/>
      <c r="AI352" s="37"/>
      <c r="AJ352" s="37"/>
      <c r="AK352" s="37"/>
      <c r="AL352" s="37"/>
      <c r="AM352" s="37"/>
    </row>
    <row r="353" spans="1:39" ht="15" hidden="1" customHeight="1" outlineLevel="1">
      <c r="E353" s="38"/>
      <c r="F353" s="631"/>
      <c r="G353" s="631"/>
      <c r="H353" s="631"/>
      <c r="I353" s="631"/>
      <c r="J353" s="631"/>
      <c r="K353" s="631"/>
      <c r="L353" s="631"/>
      <c r="M353" s="631"/>
      <c r="N353" s="631"/>
      <c r="O353" s="631"/>
      <c r="P353" s="631"/>
      <c r="Q353" s="631"/>
      <c r="R353" s="631"/>
      <c r="S353" s="627"/>
      <c r="T353" s="627"/>
      <c r="U353" s="627"/>
      <c r="V353" s="627"/>
      <c r="W353" s="627"/>
      <c r="X353" s="627"/>
      <c r="Y353" s="627"/>
      <c r="Z353" s="627"/>
      <c r="AA353" s="627"/>
      <c r="AB353" s="627"/>
      <c r="AC353" s="627"/>
      <c r="AD353" s="627"/>
      <c r="AE353" s="627"/>
      <c r="AF353" s="627"/>
      <c r="AG353" s="627"/>
      <c r="AH353" s="627"/>
      <c r="AI353" s="627"/>
      <c r="AJ353" s="627"/>
      <c r="AK353" s="627"/>
      <c r="AL353" s="627"/>
      <c r="AM353" s="627"/>
    </row>
    <row r="354" spans="1:39" s="104" customFormat="1" ht="7.5" customHeight="1" collapsed="1">
      <c r="A354" s="1"/>
      <c r="B354" s="1"/>
      <c r="C354" s="2"/>
      <c r="D354" s="1"/>
      <c r="E354" s="38"/>
      <c r="F354" s="122"/>
      <c r="G354" s="122"/>
      <c r="H354" s="122"/>
      <c r="I354" s="122"/>
      <c r="J354" s="122"/>
      <c r="K354" s="122"/>
      <c r="L354" s="122"/>
      <c r="M354" s="122"/>
      <c r="N354" s="122"/>
      <c r="O354" s="122"/>
      <c r="P354" s="89"/>
      <c r="Q354" s="89"/>
      <c r="R354" s="89"/>
      <c r="S354" s="88"/>
      <c r="T354" s="88"/>
      <c r="U354" s="88"/>
      <c r="V354" s="88"/>
      <c r="W354" s="88"/>
      <c r="X354" s="88"/>
      <c r="Y354" s="88"/>
      <c r="Z354" s="88"/>
      <c r="AA354" s="88"/>
      <c r="AB354" s="88"/>
      <c r="AC354" s="88"/>
      <c r="AD354" s="88"/>
      <c r="AE354" s="88"/>
      <c r="AF354" s="88"/>
      <c r="AG354" s="88"/>
      <c r="AH354" s="88"/>
      <c r="AI354" s="88"/>
      <c r="AJ354" s="88"/>
      <c r="AK354" s="283"/>
      <c r="AL354" s="283"/>
      <c r="AM354" s="283"/>
    </row>
    <row r="355" spans="1:39" s="104" customFormat="1" ht="15" customHeight="1">
      <c r="A355" s="1"/>
      <c r="B355" s="1"/>
      <c r="C355" s="2"/>
      <c r="D355" s="1"/>
      <c r="E355" s="38"/>
      <c r="F355" s="630" t="s">
        <v>1419</v>
      </c>
      <c r="G355" s="630"/>
      <c r="H355" s="630"/>
      <c r="I355" s="630"/>
      <c r="J355" s="630"/>
      <c r="K355" s="630"/>
      <c r="L355" s="630"/>
      <c r="M355" s="630"/>
      <c r="N355" s="630"/>
      <c r="O355" s="630"/>
      <c r="P355" s="637">
        <v>930</v>
      </c>
      <c r="Q355" s="637"/>
      <c r="R355" s="637"/>
      <c r="S355" s="637"/>
      <c r="T355" s="637">
        <v>620</v>
      </c>
      <c r="U355" s="637"/>
      <c r="V355" s="637"/>
      <c r="W355" s="637"/>
      <c r="X355" s="637"/>
      <c r="Y355" s="637">
        <v>108</v>
      </c>
      <c r="Z355" s="637"/>
      <c r="AA355" s="637"/>
      <c r="AB355" s="637"/>
      <c r="AC355" s="637"/>
      <c r="AD355" s="220"/>
      <c r="AE355" s="637">
        <v>34</v>
      </c>
      <c r="AF355" s="637"/>
      <c r="AG355" s="637"/>
      <c r="AH355" s="637"/>
      <c r="AI355" s="220"/>
      <c r="AJ355" s="637">
        <f>P355+T355+Y355+AE355</f>
        <v>1692</v>
      </c>
      <c r="AK355" s="637"/>
      <c r="AL355" s="637"/>
      <c r="AM355" s="637"/>
    </row>
    <row r="356" spans="1:39" s="104" customFormat="1" ht="7.5" customHeight="1">
      <c r="A356" s="1"/>
      <c r="B356" s="1"/>
      <c r="C356" s="2"/>
      <c r="D356" s="1"/>
      <c r="E356" s="38"/>
      <c r="F356" s="116"/>
      <c r="G356" s="116"/>
      <c r="H356" s="116"/>
      <c r="I356" s="116"/>
      <c r="J356" s="116"/>
      <c r="K356" s="116"/>
      <c r="L356" s="116"/>
      <c r="M356" s="116"/>
      <c r="N356" s="116"/>
      <c r="O356" s="116"/>
      <c r="P356" s="116"/>
      <c r="Q356" s="116"/>
      <c r="R356" s="116"/>
      <c r="S356" s="40"/>
      <c r="T356" s="40"/>
      <c r="U356" s="40"/>
      <c r="V356" s="40"/>
      <c r="W356" s="40"/>
      <c r="X356" s="40"/>
      <c r="Y356" s="40"/>
      <c r="Z356" s="40"/>
      <c r="AA356" s="40"/>
      <c r="AB356" s="40"/>
      <c r="AC356" s="40"/>
      <c r="AD356" s="40"/>
      <c r="AE356" s="40"/>
      <c r="AF356" s="40"/>
      <c r="AG356" s="40"/>
      <c r="AH356" s="40"/>
      <c r="AI356" s="40"/>
      <c r="AJ356" s="40"/>
      <c r="AK356" s="90"/>
      <c r="AL356" s="90"/>
      <c r="AM356" s="90"/>
    </row>
    <row r="357" spans="1:39" s="104" customFormat="1" ht="15" customHeight="1">
      <c r="A357" s="1"/>
      <c r="B357" s="1"/>
      <c r="C357" s="2"/>
      <c r="D357" s="1"/>
      <c r="E357" s="38"/>
      <c r="F357" s="639" t="s">
        <v>113</v>
      </c>
      <c r="G357" s="639"/>
      <c r="H357" s="639"/>
      <c r="I357" s="639"/>
      <c r="J357" s="639"/>
      <c r="K357" s="639"/>
      <c r="L357" s="639"/>
      <c r="M357" s="639"/>
      <c r="N357" s="639"/>
      <c r="O357" s="639"/>
      <c r="P357" s="634"/>
      <c r="Q357" s="634"/>
      <c r="R357" s="634"/>
      <c r="S357" s="634"/>
      <c r="T357" s="635">
        <f>AA301</f>
        <v>278.97554999999909</v>
      </c>
      <c r="U357" s="635"/>
      <c r="V357" s="635"/>
      <c r="W357" s="635"/>
      <c r="X357" s="635"/>
      <c r="Y357" s="627"/>
      <c r="Z357" s="627"/>
      <c r="AA357" s="627"/>
      <c r="AB357" s="627"/>
      <c r="AC357" s="627"/>
      <c r="AD357" s="627"/>
      <c r="AE357" s="624"/>
      <c r="AF357" s="624"/>
      <c r="AG357" s="624"/>
      <c r="AH357" s="624"/>
      <c r="AI357" s="123"/>
      <c r="AJ357" s="123"/>
      <c r="AK357" s="628"/>
      <c r="AL357" s="628"/>
      <c r="AM357" s="40"/>
    </row>
    <row r="358" spans="1:39" s="104" customFormat="1" ht="15" customHeight="1">
      <c r="A358" s="1"/>
      <c r="B358" s="1"/>
      <c r="C358" s="2"/>
      <c r="D358" s="1"/>
      <c r="E358" s="38"/>
      <c r="F358" s="631" t="s">
        <v>479</v>
      </c>
      <c r="G358" s="631"/>
      <c r="H358" s="631"/>
      <c r="I358" s="631"/>
      <c r="J358" s="631"/>
      <c r="K358" s="631"/>
      <c r="L358" s="631"/>
      <c r="M358" s="631"/>
      <c r="N358" s="631"/>
      <c r="O358" s="631"/>
      <c r="P358" s="82"/>
      <c r="Q358" s="82"/>
      <c r="R358" s="82"/>
      <c r="S358" s="123"/>
      <c r="T358" s="97"/>
      <c r="U358" s="97"/>
      <c r="V358" s="97"/>
      <c r="W358" s="97"/>
      <c r="X358" s="97"/>
      <c r="Y358" s="123"/>
      <c r="Z358" s="123"/>
      <c r="AA358" s="123"/>
      <c r="AB358" s="123"/>
      <c r="AC358" s="123"/>
      <c r="AD358" s="123"/>
      <c r="AE358" s="123"/>
      <c r="AF358" s="123"/>
      <c r="AG358" s="123"/>
      <c r="AH358" s="123"/>
      <c r="AI358" s="123"/>
      <c r="AJ358" s="123"/>
      <c r="AK358" s="40"/>
      <c r="AL358" s="40"/>
      <c r="AM358" s="40"/>
    </row>
    <row r="359" spans="1:39" s="104" customFormat="1" ht="15" customHeight="1">
      <c r="A359" s="1"/>
      <c r="B359" s="1"/>
      <c r="C359" s="2"/>
      <c r="D359" s="1"/>
      <c r="E359" s="38"/>
      <c r="F359" s="631"/>
      <c r="G359" s="631"/>
      <c r="H359" s="631"/>
      <c r="I359" s="631"/>
      <c r="J359" s="631"/>
      <c r="K359" s="631"/>
      <c r="L359" s="631"/>
      <c r="M359" s="631"/>
      <c r="N359" s="631"/>
      <c r="O359" s="631"/>
      <c r="P359" s="640"/>
      <c r="Q359" s="640"/>
      <c r="R359" s="640"/>
      <c r="S359" s="640"/>
      <c r="T359" s="97"/>
      <c r="U359" s="624">
        <f>-17</f>
        <v>-17</v>
      </c>
      <c r="V359" s="624"/>
      <c r="W359" s="624"/>
      <c r="X359" s="624"/>
      <c r="Y359" s="123"/>
      <c r="Z359" s="624"/>
      <c r="AA359" s="624"/>
      <c r="AB359" s="624"/>
      <c r="AC359" s="624"/>
      <c r="AD359" s="123"/>
      <c r="AE359" s="624">
        <v>17</v>
      </c>
      <c r="AF359" s="624"/>
      <c r="AG359" s="624"/>
      <c r="AH359" s="624"/>
      <c r="AI359" s="123"/>
      <c r="AJ359" s="624"/>
      <c r="AK359" s="624"/>
      <c r="AL359" s="624"/>
      <c r="AM359" s="624"/>
    </row>
    <row r="360" spans="1:39" s="104" customFormat="1" ht="7.5" customHeight="1">
      <c r="A360" s="1"/>
      <c r="B360" s="1"/>
      <c r="C360" s="2"/>
      <c r="D360" s="1"/>
      <c r="E360" s="38"/>
      <c r="F360" s="122"/>
      <c r="G360" s="122"/>
      <c r="H360" s="122"/>
      <c r="I360" s="122"/>
      <c r="J360" s="122"/>
      <c r="K360" s="122"/>
      <c r="L360" s="122"/>
      <c r="M360" s="122"/>
      <c r="N360" s="122"/>
      <c r="O360" s="122"/>
      <c r="P360" s="122"/>
      <c r="Q360" s="122"/>
      <c r="R360" s="122"/>
      <c r="S360" s="123"/>
      <c r="T360" s="123"/>
      <c r="U360" s="123"/>
      <c r="V360" s="123"/>
      <c r="W360" s="123"/>
      <c r="X360" s="123"/>
      <c r="Y360" s="123"/>
      <c r="Z360" s="123"/>
      <c r="AA360" s="123"/>
      <c r="AB360" s="123"/>
      <c r="AC360" s="123"/>
      <c r="AD360" s="123"/>
      <c r="AE360" s="123"/>
      <c r="AF360" s="123"/>
      <c r="AG360" s="123"/>
      <c r="AH360" s="123"/>
      <c r="AI360" s="123"/>
      <c r="AJ360" s="123"/>
      <c r="AK360" s="91"/>
      <c r="AL360" s="91"/>
      <c r="AM360" s="91"/>
    </row>
    <row r="361" spans="1:39" s="104" customFormat="1" ht="15" customHeight="1">
      <c r="A361" s="1"/>
      <c r="B361" s="1"/>
      <c r="C361" s="2"/>
      <c r="D361" s="1"/>
      <c r="E361" s="41"/>
      <c r="F361" s="630" t="s">
        <v>1642</v>
      </c>
      <c r="G361" s="630"/>
      <c r="H361" s="630"/>
      <c r="I361" s="630"/>
      <c r="J361" s="630"/>
      <c r="K361" s="630"/>
      <c r="L361" s="630"/>
      <c r="M361" s="630"/>
      <c r="N361" s="630"/>
      <c r="O361" s="630"/>
      <c r="P361" s="622">
        <v>930</v>
      </c>
      <c r="Q361" s="622"/>
      <c r="R361" s="622"/>
      <c r="S361" s="622"/>
      <c r="T361" s="87"/>
      <c r="U361" s="632">
        <f>SUM(S355:X359)</f>
        <v>881.97554999999909</v>
      </c>
      <c r="V361" s="632"/>
      <c r="W361" s="632"/>
      <c r="X361" s="632"/>
      <c r="Y361" s="87"/>
      <c r="Z361" s="632">
        <f>Y355</f>
        <v>108</v>
      </c>
      <c r="AA361" s="632"/>
      <c r="AB361" s="632"/>
      <c r="AC361" s="632"/>
      <c r="AD361" s="87"/>
      <c r="AE361" s="632">
        <f>SUBTOTAL(9,AE355:AH360)</f>
        <v>51</v>
      </c>
      <c r="AF361" s="632"/>
      <c r="AG361" s="632"/>
      <c r="AH361" s="632"/>
      <c r="AI361" s="87"/>
      <c r="AJ361" s="632">
        <f>P361+U361+Z361+AE361</f>
        <v>1970.9755499999992</v>
      </c>
      <c r="AK361" s="632"/>
      <c r="AL361" s="632"/>
      <c r="AM361" s="632"/>
    </row>
    <row r="362" spans="1:39" s="104" customFormat="1" ht="15">
      <c r="A362" s="1"/>
      <c r="B362" s="1"/>
      <c r="C362" s="2"/>
      <c r="D362" s="1"/>
      <c r="E362" s="38"/>
      <c r="F362" s="38"/>
      <c r="G362" s="38"/>
      <c r="H362" s="38"/>
      <c r="I362" s="38"/>
      <c r="J362" s="38"/>
      <c r="K362" s="38"/>
      <c r="L362" s="38"/>
      <c r="M362" s="38"/>
      <c r="N362" s="123"/>
      <c r="O362" s="42"/>
      <c r="P362" s="42"/>
      <c r="Q362" s="42"/>
      <c r="R362" s="42"/>
      <c r="S362" s="42"/>
      <c r="T362" s="123"/>
      <c r="U362" s="42"/>
      <c r="V362" s="42"/>
      <c r="W362" s="42"/>
      <c r="X362" s="42"/>
      <c r="Y362" s="42"/>
      <c r="Z362" s="123"/>
      <c r="AA362" s="42"/>
      <c r="AB362" s="42"/>
      <c r="AC362" s="42"/>
      <c r="AD362" s="42"/>
      <c r="AE362" s="42"/>
      <c r="AF362" s="123"/>
      <c r="AG362" s="42"/>
      <c r="AH362" s="42"/>
      <c r="AI362" s="42"/>
      <c r="AJ362" s="42"/>
      <c r="AK362" s="42"/>
      <c r="AL362" s="123"/>
      <c r="AM362" s="42"/>
    </row>
    <row r="363" spans="1:39" s="231" customFormat="1" ht="15" customHeight="1">
      <c r="A363" s="1"/>
      <c r="B363" s="1"/>
      <c r="C363" s="2"/>
      <c r="D363" s="1"/>
      <c r="E363" s="38"/>
      <c r="F363" s="38"/>
      <c r="G363" s="38"/>
      <c r="H363" s="38"/>
      <c r="I363" s="38"/>
      <c r="J363" s="38"/>
      <c r="K363" s="38"/>
      <c r="L363" s="38"/>
      <c r="M363" s="38"/>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row>
    <row r="364" spans="1:39" s="231" customFormat="1" ht="15">
      <c r="A364" s="1"/>
      <c r="B364" s="1"/>
      <c r="C364" s="2"/>
      <c r="D364" s="1"/>
      <c r="E364" s="38"/>
      <c r="F364" s="38"/>
      <c r="G364" s="38"/>
      <c r="H364" s="38"/>
      <c r="I364" s="38"/>
      <c r="J364" s="38"/>
      <c r="K364" s="38"/>
      <c r="L364" s="38"/>
      <c r="M364" s="38"/>
      <c r="N364" s="258"/>
      <c r="O364" s="42"/>
      <c r="P364" s="42"/>
      <c r="Q364" s="42"/>
      <c r="R364" s="42"/>
      <c r="S364" s="42"/>
      <c r="T364" s="258"/>
      <c r="U364" s="42"/>
      <c r="V364" s="42"/>
      <c r="W364" s="42"/>
      <c r="X364" s="42"/>
      <c r="Y364" s="42"/>
      <c r="Z364" s="258"/>
      <c r="AA364" s="42"/>
      <c r="AB364" s="42"/>
      <c r="AC364" s="42"/>
      <c r="AD364" s="42"/>
      <c r="AE364" s="42"/>
      <c r="AF364" s="258"/>
      <c r="AG364" s="42"/>
      <c r="AH364" s="42"/>
      <c r="AI364" s="42"/>
      <c r="AJ364" s="42"/>
      <c r="AK364" s="42"/>
      <c r="AL364" s="258"/>
      <c r="AM364" s="42"/>
    </row>
    <row r="365" spans="1:39" s="231" customFormat="1" ht="15">
      <c r="A365" s="1"/>
      <c r="B365" s="1"/>
      <c r="C365" s="2"/>
      <c r="D365" s="1"/>
      <c r="E365" s="38"/>
      <c r="F365" s="38"/>
      <c r="G365" s="38"/>
      <c r="H365" s="38"/>
      <c r="I365" s="38"/>
      <c r="J365" s="38"/>
      <c r="K365" s="38"/>
      <c r="L365" s="38"/>
      <c r="M365" s="38"/>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row>
    <row r="366" spans="1:39" s="231" customFormat="1" ht="15">
      <c r="A366" s="1"/>
      <c r="B366" s="1"/>
      <c r="C366" s="2"/>
      <c r="D366" s="1"/>
      <c r="E366" s="38"/>
      <c r="F366" s="38"/>
      <c r="G366" s="38"/>
      <c r="H366" s="38"/>
      <c r="I366" s="38"/>
      <c r="J366" s="38"/>
      <c r="K366" s="38"/>
      <c r="L366" s="38"/>
      <c r="M366" s="38"/>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row>
    <row r="367" spans="1:39" s="231" customFormat="1" ht="15">
      <c r="A367" s="1"/>
      <c r="B367" s="1"/>
      <c r="C367" s="2"/>
      <c r="D367" s="1"/>
      <c r="E367" s="38"/>
      <c r="F367" s="38"/>
      <c r="G367" s="38"/>
      <c r="H367" s="38"/>
      <c r="I367" s="38"/>
      <c r="J367" s="38"/>
      <c r="K367" s="38"/>
      <c r="L367" s="38"/>
      <c r="M367" s="38"/>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row>
    <row r="368" spans="1:39" s="231" customFormat="1" ht="15">
      <c r="A368" s="1"/>
      <c r="B368" s="1"/>
      <c r="C368" s="2"/>
      <c r="D368" s="1"/>
      <c r="E368" s="38"/>
      <c r="F368" s="38"/>
      <c r="G368" s="38"/>
      <c r="H368" s="38"/>
      <c r="I368" s="38"/>
      <c r="J368" s="38"/>
      <c r="K368" s="38"/>
      <c r="L368" s="38"/>
      <c r="M368" s="38"/>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row>
    <row r="369" spans="1:39" s="231" customFormat="1" ht="15">
      <c r="A369" s="1"/>
      <c r="B369" s="1"/>
      <c r="C369" s="2"/>
      <c r="D369" s="1"/>
      <c r="E369" s="38"/>
      <c r="F369" s="38"/>
      <c r="G369" s="38"/>
      <c r="H369" s="38"/>
      <c r="I369" s="38"/>
      <c r="J369" s="38"/>
      <c r="K369" s="38"/>
      <c r="L369" s="38"/>
      <c r="M369" s="38"/>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row>
    <row r="370" spans="1:39" s="231" customFormat="1" ht="15">
      <c r="A370" s="1"/>
      <c r="B370" s="1"/>
      <c r="C370" s="2"/>
      <c r="D370" s="1"/>
      <c r="E370" s="38"/>
      <c r="F370" s="38"/>
      <c r="G370" s="38"/>
      <c r="H370" s="38"/>
      <c r="I370" s="38"/>
      <c r="J370" s="38"/>
      <c r="K370" s="38"/>
      <c r="L370" s="38"/>
      <c r="M370" s="38"/>
      <c r="N370" s="258"/>
      <c r="O370" s="42"/>
      <c r="P370" s="42"/>
      <c r="Q370" s="42"/>
      <c r="R370" s="42"/>
      <c r="S370" s="42"/>
      <c r="T370" s="258"/>
      <c r="U370" s="42"/>
      <c r="V370" s="42"/>
      <c r="W370" s="42"/>
      <c r="X370" s="42"/>
      <c r="Y370" s="42"/>
      <c r="Z370" s="258"/>
      <c r="AA370" s="42"/>
      <c r="AB370" s="42"/>
      <c r="AC370" s="42"/>
      <c r="AD370" s="42"/>
      <c r="AE370" s="42"/>
      <c r="AF370" s="258"/>
      <c r="AG370" s="42"/>
      <c r="AH370" s="42"/>
      <c r="AI370" s="42"/>
      <c r="AJ370" s="42"/>
      <c r="AK370" s="42"/>
      <c r="AL370" s="258"/>
      <c r="AM370" s="42"/>
    </row>
    <row r="371" spans="1:39" s="231" customFormat="1" ht="15">
      <c r="A371" s="1"/>
      <c r="B371" s="1"/>
      <c r="C371" s="2"/>
      <c r="D371" s="1"/>
      <c r="E371" s="38"/>
      <c r="F371" s="38"/>
      <c r="G371" s="38"/>
      <c r="H371" s="38"/>
      <c r="I371" s="38"/>
      <c r="J371" s="38"/>
      <c r="K371" s="38"/>
      <c r="L371" s="38"/>
      <c r="M371" s="38"/>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row>
    <row r="372" spans="1:39" s="231" customFormat="1" ht="15">
      <c r="A372" s="1"/>
      <c r="B372" s="1"/>
      <c r="C372" s="2"/>
      <c r="D372" s="1"/>
      <c r="E372" s="38"/>
      <c r="F372" s="38"/>
      <c r="G372" s="38"/>
      <c r="H372" s="38"/>
      <c r="I372" s="38"/>
      <c r="J372" s="38"/>
      <c r="K372" s="38"/>
      <c r="L372" s="38"/>
      <c r="M372" s="38"/>
      <c r="N372" s="258"/>
      <c r="O372" s="42"/>
      <c r="P372" s="42"/>
      <c r="Q372" s="42"/>
      <c r="R372" s="42"/>
      <c r="S372" s="42"/>
      <c r="T372" s="258"/>
      <c r="U372" s="42"/>
      <c r="V372" s="42"/>
      <c r="W372" s="42"/>
      <c r="X372" s="42"/>
      <c r="Y372" s="42"/>
      <c r="Z372" s="258"/>
      <c r="AA372" s="42"/>
      <c r="AB372" s="42"/>
      <c r="AC372" s="42"/>
      <c r="AD372" s="42"/>
      <c r="AE372" s="42"/>
      <c r="AF372" s="258"/>
      <c r="AG372" s="42"/>
      <c r="AH372" s="42"/>
      <c r="AI372" s="42"/>
      <c r="AJ372" s="42"/>
      <c r="AK372" s="42"/>
      <c r="AL372" s="258"/>
      <c r="AM372" s="42"/>
    </row>
    <row r="373" spans="1:39" s="231" customFormat="1" ht="15">
      <c r="A373" s="1"/>
      <c r="B373" s="1"/>
      <c r="C373" s="2"/>
      <c r="D373" s="1"/>
      <c r="E373" s="38"/>
      <c r="F373" s="38"/>
      <c r="G373" s="38"/>
      <c r="H373" s="38"/>
      <c r="I373" s="38"/>
      <c r="J373" s="38"/>
      <c r="K373" s="38"/>
      <c r="L373" s="38"/>
      <c r="M373" s="38"/>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row>
    <row r="374" spans="1:39" s="231" customFormat="1">
      <c r="A374" s="1"/>
      <c r="B374" s="1"/>
      <c r="C374" s="2"/>
      <c r="D374" s="1"/>
      <c r="E374" s="41"/>
      <c r="F374" s="41"/>
      <c r="G374" s="41"/>
      <c r="H374" s="41"/>
      <c r="I374" s="41"/>
      <c r="J374" s="41"/>
      <c r="K374" s="41"/>
      <c r="L374" s="41"/>
      <c r="M374" s="41"/>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row>
    <row r="375" spans="1:39" s="231" customFormat="1">
      <c r="A375" s="16"/>
      <c r="B375" s="16"/>
      <c r="C375" s="17"/>
      <c r="D375" s="1"/>
      <c r="E375" s="345"/>
      <c r="F375" s="345"/>
      <c r="G375" s="345"/>
      <c r="H375" s="345"/>
      <c r="I375" s="345"/>
      <c r="J375" s="345"/>
      <c r="K375" s="345"/>
      <c r="L375" s="345"/>
      <c r="M375" s="345"/>
      <c r="N375" s="258"/>
      <c r="O375" s="258"/>
      <c r="P375" s="258"/>
      <c r="Q375" s="258"/>
      <c r="R375" s="258"/>
      <c r="S375" s="258"/>
      <c r="T375" s="258"/>
      <c r="U375" s="258"/>
      <c r="V375" s="258"/>
      <c r="W375" s="258"/>
      <c r="X375" s="258"/>
      <c r="Y375" s="258"/>
      <c r="Z375" s="258"/>
      <c r="AA375" s="258"/>
      <c r="AB375" s="258"/>
      <c r="AC375" s="258"/>
      <c r="AD375" s="258"/>
      <c r="AE375" s="258"/>
      <c r="AF375" s="40"/>
      <c r="AG375" s="40"/>
      <c r="AH375" s="40"/>
      <c r="AI375" s="40"/>
      <c r="AJ375" s="258"/>
      <c r="AK375" s="258"/>
      <c r="AL375" s="258"/>
      <c r="AM375" s="258"/>
    </row>
    <row r="376" spans="1:39" s="231" customFormat="1">
      <c r="A376" s="1"/>
      <c r="B376" s="1"/>
      <c r="C376" s="2"/>
      <c r="D376" s="1"/>
      <c r="E376" s="345"/>
      <c r="F376" s="345"/>
      <c r="G376" s="345"/>
      <c r="H376" s="345"/>
      <c r="I376" s="345"/>
      <c r="J376" s="345"/>
      <c r="K376" s="345"/>
      <c r="L376" s="345"/>
      <c r="M376" s="345"/>
      <c r="N376" s="258"/>
      <c r="O376" s="258"/>
      <c r="P376" s="258"/>
      <c r="Q376" s="258"/>
      <c r="R376" s="258"/>
      <c r="S376" s="258"/>
      <c r="T376" s="258"/>
      <c r="U376" s="258"/>
      <c r="V376" s="258"/>
      <c r="W376" s="258"/>
      <c r="X376" s="258"/>
      <c r="Y376" s="258"/>
      <c r="Z376" s="258"/>
      <c r="AA376" s="258"/>
      <c r="AB376" s="258"/>
      <c r="AC376" s="258"/>
      <c r="AD376" s="258"/>
      <c r="AE376" s="258"/>
      <c r="AF376" s="40"/>
      <c r="AG376" s="40"/>
      <c r="AH376" s="40"/>
      <c r="AI376" s="40"/>
      <c r="AJ376" s="258"/>
      <c r="AK376" s="258"/>
      <c r="AL376" s="258"/>
      <c r="AM376" s="258"/>
    </row>
    <row r="377" spans="1:39" s="231" customFormat="1">
      <c r="A377" s="1"/>
      <c r="B377" s="1"/>
      <c r="C377" s="2"/>
      <c r="D377" s="1"/>
      <c r="E377" s="345"/>
      <c r="F377" s="345"/>
      <c r="G377" s="345"/>
      <c r="H377" s="345"/>
      <c r="I377" s="345"/>
      <c r="J377" s="345"/>
      <c r="K377" s="345"/>
      <c r="L377" s="345"/>
      <c r="M377" s="345"/>
      <c r="N377" s="258"/>
      <c r="O377" s="258"/>
      <c r="P377" s="258"/>
      <c r="Q377" s="258"/>
      <c r="R377" s="258"/>
      <c r="S377" s="258"/>
      <c r="T377" s="258"/>
      <c r="U377" s="258"/>
      <c r="V377" s="258"/>
      <c r="W377" s="258"/>
      <c r="X377" s="258"/>
      <c r="Y377" s="258"/>
      <c r="Z377" s="258"/>
      <c r="AA377" s="258"/>
      <c r="AB377" s="258"/>
      <c r="AC377" s="258"/>
      <c r="AD377" s="258"/>
      <c r="AE377" s="258"/>
      <c r="AF377" s="40"/>
      <c r="AG377" s="40"/>
      <c r="AH377" s="40"/>
      <c r="AI377" s="40"/>
      <c r="AJ377" s="258"/>
      <c r="AK377" s="258"/>
      <c r="AL377" s="258"/>
      <c r="AM377" s="258"/>
    </row>
    <row r="378" spans="1:39" s="231" customFormat="1">
      <c r="A378" s="1"/>
      <c r="B378" s="1"/>
      <c r="C378" s="2"/>
      <c r="D378" s="1"/>
      <c r="E378" s="345"/>
      <c r="F378" s="345"/>
      <c r="G378" s="345"/>
      <c r="H378" s="345"/>
      <c r="I378" s="345"/>
      <c r="J378" s="345"/>
      <c r="K378" s="345"/>
      <c r="L378" s="345"/>
      <c r="M378" s="345"/>
      <c r="N378" s="258"/>
      <c r="O378" s="258"/>
      <c r="P378" s="258"/>
      <c r="Q378" s="258"/>
      <c r="R378" s="258"/>
      <c r="S378" s="258"/>
      <c r="T378" s="258"/>
      <c r="U378" s="258"/>
      <c r="V378" s="258"/>
      <c r="W378" s="258"/>
      <c r="X378" s="258"/>
      <c r="Y378" s="258"/>
      <c r="Z378" s="258"/>
      <c r="AA378" s="258"/>
      <c r="AB378" s="258"/>
      <c r="AC378" s="258"/>
      <c r="AD378" s="258"/>
      <c r="AE378" s="258"/>
      <c r="AF378" s="40"/>
      <c r="AG378" s="40"/>
      <c r="AH378" s="40"/>
      <c r="AI378" s="40"/>
      <c r="AJ378" s="258"/>
      <c r="AK378" s="258"/>
      <c r="AL378" s="258"/>
      <c r="AM378" s="258"/>
    </row>
    <row r="379" spans="1:39" s="231" customFormat="1">
      <c r="A379" s="1"/>
      <c r="B379" s="1"/>
      <c r="C379" s="2"/>
      <c r="D379" s="1"/>
      <c r="E379" s="345"/>
      <c r="F379" s="345"/>
      <c r="G379" s="345"/>
      <c r="H379" s="345"/>
      <c r="I379" s="345"/>
      <c r="J379" s="345"/>
      <c r="K379" s="345"/>
      <c r="L379" s="345"/>
      <c r="M379" s="345"/>
      <c r="N379" s="258"/>
      <c r="O379" s="258"/>
      <c r="P379" s="258"/>
      <c r="Q379" s="258"/>
      <c r="R379" s="258"/>
      <c r="S379" s="258"/>
      <c r="T379" s="258"/>
      <c r="U379" s="258"/>
      <c r="V379" s="258"/>
      <c r="W379" s="258"/>
      <c r="X379" s="258"/>
      <c r="Y379" s="258"/>
      <c r="Z379" s="258"/>
      <c r="AA379" s="258"/>
      <c r="AB379" s="258"/>
      <c r="AC379" s="258"/>
      <c r="AD379" s="258"/>
      <c r="AE379" s="258"/>
      <c r="AF379" s="40"/>
      <c r="AG379" s="40"/>
      <c r="AH379" s="40"/>
      <c r="AI379" s="40"/>
      <c r="AJ379" s="258"/>
      <c r="AK379" s="258"/>
      <c r="AL379" s="258"/>
      <c r="AM379" s="258"/>
    </row>
    <row r="380" spans="1:39" s="231" customFormat="1">
      <c r="A380" s="1"/>
      <c r="B380" s="1"/>
      <c r="C380" s="2"/>
      <c r="D380" s="1"/>
      <c r="E380" s="345"/>
      <c r="F380" s="345"/>
      <c r="G380" s="345"/>
      <c r="H380" s="345"/>
      <c r="I380" s="345"/>
      <c r="J380" s="345"/>
      <c r="K380" s="345"/>
      <c r="L380" s="345"/>
      <c r="M380" s="345"/>
      <c r="N380" s="40"/>
      <c r="O380" s="40"/>
      <c r="P380" s="40"/>
      <c r="Q380" s="258"/>
      <c r="R380" s="258"/>
      <c r="S380" s="258"/>
      <c r="T380" s="258"/>
      <c r="U380" s="258"/>
      <c r="V380" s="258"/>
      <c r="W380" s="258"/>
      <c r="X380" s="258"/>
      <c r="Y380" s="258"/>
      <c r="Z380" s="258"/>
      <c r="AA380" s="258"/>
      <c r="AB380" s="258"/>
      <c r="AC380" s="258"/>
      <c r="AD380" s="258"/>
      <c r="AE380" s="258"/>
      <c r="AF380" s="40"/>
      <c r="AG380" s="40"/>
      <c r="AH380" s="40"/>
      <c r="AI380" s="40"/>
      <c r="AJ380" s="258"/>
      <c r="AK380" s="258"/>
      <c r="AL380" s="258"/>
      <c r="AM380" s="258"/>
    </row>
    <row r="381" spans="1:39" s="231" customFormat="1">
      <c r="A381" s="1"/>
      <c r="B381" s="1"/>
      <c r="C381" s="2"/>
      <c r="D381" s="1"/>
      <c r="E381" s="282"/>
      <c r="F381" s="282"/>
      <c r="G381" s="282"/>
      <c r="H381" s="282"/>
      <c r="I381" s="282"/>
      <c r="J381" s="282"/>
      <c r="K381" s="282"/>
      <c r="L381" s="282"/>
      <c r="M381" s="282"/>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row>
    <row r="382" spans="1:39" s="231" customFormat="1">
      <c r="A382" s="1"/>
      <c r="B382" s="1"/>
      <c r="C382" s="2"/>
      <c r="D382" s="1"/>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12"/>
    </row>
    <row r="383" spans="1:39" s="231" customFormat="1">
      <c r="A383" s="1"/>
      <c r="B383" s="1"/>
      <c r="C383" s="2"/>
      <c r="D383" s="1"/>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row>
    <row r="384" spans="1:39" s="231" customFormat="1">
      <c r="A384" s="1"/>
      <c r="B384" s="1"/>
      <c r="C384" s="2"/>
      <c r="D384" s="1"/>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row>
    <row r="385" spans="1:39" s="231" customFormat="1">
      <c r="A385" s="1"/>
      <c r="B385" s="1"/>
      <c r="C385" s="2"/>
      <c r="D385" s="1"/>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12"/>
    </row>
    <row r="386" spans="1:39" s="231" customFormat="1">
      <c r="A386" s="1"/>
      <c r="B386" s="1"/>
      <c r="C386" s="2"/>
      <c r="D386" s="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12"/>
    </row>
    <row r="387" spans="1:39" s="231" customFormat="1">
      <c r="A387" s="1"/>
      <c r="B387" s="1"/>
      <c r="C387" s="2"/>
      <c r="D387" s="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1"/>
      <c r="AL387" s="121"/>
      <c r="AM387" s="112"/>
    </row>
    <row r="388" spans="1:39" s="231" customFormat="1">
      <c r="A388" s="1"/>
      <c r="B388" s="1"/>
      <c r="C388" s="2"/>
      <c r="D388" s="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1"/>
      <c r="AL388" s="121"/>
      <c r="AM388" s="112"/>
    </row>
    <row r="389" spans="1:39" s="231" customFormat="1">
      <c r="A389" s="1"/>
      <c r="B389" s="1"/>
      <c r="C389" s="2"/>
      <c r="D389" s="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1"/>
      <c r="AL389" s="121"/>
      <c r="AM389" s="112"/>
    </row>
    <row r="390" spans="1:39" s="231" customFormat="1">
      <c r="A390" s="1"/>
      <c r="B390" s="1"/>
      <c r="C390" s="2"/>
      <c r="D390" s="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12"/>
    </row>
    <row r="391" spans="1:39" s="231" customFormat="1">
      <c r="A391" s="1"/>
      <c r="B391" s="1"/>
      <c r="C391" s="2"/>
      <c r="D391" s="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1"/>
      <c r="AL391" s="121"/>
      <c r="AM391" s="112"/>
    </row>
    <row r="392" spans="1:39" s="231" customFormat="1">
      <c r="A392" s="1"/>
      <c r="B392" s="1"/>
      <c r="C392" s="2"/>
      <c r="D392" s="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1"/>
      <c r="AL392" s="121"/>
      <c r="AM392" s="112"/>
    </row>
    <row r="393" spans="1:39" s="231" customFormat="1">
      <c r="A393" s="1"/>
      <c r="B393" s="1"/>
      <c r="C393" s="2"/>
      <c r="D393" s="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12"/>
    </row>
    <row r="394" spans="1:39" s="231" customFormat="1">
      <c r="A394" s="1"/>
      <c r="B394" s="1"/>
      <c r="C394" s="2"/>
      <c r="D394" s="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1"/>
      <c r="AL394" s="121"/>
      <c r="AM394" s="112"/>
    </row>
    <row r="395" spans="1:39" s="231" customFormat="1">
      <c r="A395" s="1"/>
      <c r="B395" s="1"/>
      <c r="C395" s="2"/>
      <c r="D395" s="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1"/>
      <c r="AL395" s="121"/>
      <c r="AM395" s="112"/>
    </row>
    <row r="396" spans="1:39" s="231" customFormat="1">
      <c r="A396" s="1"/>
      <c r="B396" s="1"/>
      <c r="C396" s="2"/>
      <c r="D396" s="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12"/>
    </row>
    <row r="397" spans="1:39" s="231" customFormat="1">
      <c r="A397" s="1"/>
      <c r="B397" s="1"/>
      <c r="C397" s="2"/>
      <c r="D397" s="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1"/>
      <c r="AL397" s="121"/>
      <c r="AM397" s="112"/>
    </row>
    <row r="398" spans="1:39" s="231" customFormat="1">
      <c r="A398" s="1"/>
      <c r="B398" s="1"/>
      <c r="C398" s="2"/>
      <c r="D398" s="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c r="AH398" s="121"/>
      <c r="AI398" s="121"/>
      <c r="AJ398" s="121"/>
      <c r="AK398" s="121"/>
      <c r="AL398" s="121"/>
      <c r="AM398" s="112"/>
    </row>
    <row r="399" spans="1:39" s="231" customFormat="1">
      <c r="A399" s="1"/>
      <c r="B399" s="1"/>
      <c r="C399" s="2"/>
      <c r="D399" s="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1"/>
      <c r="AL399" s="121"/>
      <c r="AM399" s="112"/>
    </row>
    <row r="400" spans="1:39" s="231" customFormat="1">
      <c r="A400" s="1"/>
      <c r="B400" s="1"/>
      <c r="C400" s="2"/>
      <c r="D400" s="1"/>
      <c r="E400" s="7"/>
      <c r="F400" s="568" t="s">
        <v>39</v>
      </c>
      <c r="G400" s="568"/>
      <c r="H400" s="568"/>
      <c r="I400" s="568"/>
      <c r="J400" s="568"/>
      <c r="K400" s="568"/>
      <c r="L400" s="568"/>
      <c r="M400" s="568"/>
      <c r="N400" s="568"/>
      <c r="O400" s="568"/>
      <c r="P400" s="568"/>
      <c r="Q400" s="568"/>
      <c r="R400" s="568"/>
      <c r="S400" s="568"/>
      <c r="T400" s="568"/>
      <c r="U400" s="568"/>
      <c r="V400" s="568"/>
      <c r="W400" s="568"/>
      <c r="X400" s="7"/>
      <c r="Y400" s="7"/>
      <c r="Z400" s="7"/>
      <c r="AA400" s="7"/>
      <c r="AB400" s="7"/>
      <c r="AC400" s="7"/>
      <c r="AD400" s="7"/>
      <c r="AE400" s="7"/>
      <c r="AF400" s="7"/>
      <c r="AG400" s="7"/>
      <c r="AH400" s="7"/>
      <c r="AI400" s="7"/>
      <c r="AJ400" s="7"/>
      <c r="AK400" s="7"/>
      <c r="AL400" s="7"/>
      <c r="AM400" s="7"/>
    </row>
    <row r="401" spans="1:39" s="231" customFormat="1">
      <c r="A401" s="1"/>
      <c r="B401" s="1"/>
      <c r="C401" s="2"/>
      <c r="D401" s="1"/>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row>
    <row r="402" spans="1:39" s="231" customFormat="1">
      <c r="A402" s="1"/>
      <c r="B402" s="1"/>
      <c r="C402" s="2"/>
      <c r="D402" s="1"/>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row>
    <row r="403" spans="1:39" s="231" customFormat="1">
      <c r="A403" s="1"/>
      <c r="B403" s="1"/>
      <c r="C403" s="2"/>
      <c r="D403" s="1"/>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row>
    <row r="404" spans="1:39" s="231" customFormat="1">
      <c r="A404" s="1"/>
      <c r="B404" s="1"/>
      <c r="C404" s="2"/>
      <c r="D404" s="1"/>
      <c r="E404" s="7"/>
      <c r="F404" s="592" t="str">
        <f>F334</f>
        <v>Директор  Л.В. Коровьонкова</v>
      </c>
      <c r="G404" s="592"/>
      <c r="H404" s="592"/>
      <c r="I404" s="592"/>
      <c r="J404" s="592"/>
      <c r="K404" s="592"/>
      <c r="L404" s="592"/>
      <c r="M404" s="592"/>
      <c r="N404" s="592"/>
      <c r="O404" s="592"/>
      <c r="P404" s="592"/>
      <c r="Q404" s="592"/>
      <c r="Z404" s="592" t="str">
        <f>Z334</f>
        <v>Головний бухгалтер   О.В. Хижняк</v>
      </c>
      <c r="AA404" s="592"/>
      <c r="AB404" s="592"/>
      <c r="AC404" s="592"/>
      <c r="AD404" s="592"/>
      <c r="AE404" s="592"/>
      <c r="AF404" s="592"/>
      <c r="AG404" s="592"/>
      <c r="AH404" s="592"/>
      <c r="AI404" s="592"/>
      <c r="AJ404" s="592"/>
      <c r="AK404" s="592"/>
      <c r="AL404" s="7"/>
      <c r="AM404" s="7"/>
    </row>
    <row r="405" spans="1:39" s="231" customFormat="1">
      <c r="A405" s="1"/>
      <c r="B405" s="1"/>
      <c r="C405" s="2"/>
      <c r="D405" s="1"/>
      <c r="E405" s="7"/>
      <c r="F405" s="588"/>
      <c r="G405" s="588"/>
      <c r="H405" s="588"/>
      <c r="I405" s="588"/>
      <c r="J405" s="588"/>
      <c r="K405" s="588"/>
      <c r="L405" s="588"/>
      <c r="M405" s="588"/>
      <c r="N405" s="588"/>
      <c r="O405" s="588"/>
      <c r="P405" s="588"/>
      <c r="Q405" s="588"/>
      <c r="Z405" s="587"/>
      <c r="AA405" s="587"/>
      <c r="AB405" s="587"/>
      <c r="AC405" s="587"/>
      <c r="AD405" s="587"/>
      <c r="AE405" s="587"/>
      <c r="AF405" s="587"/>
      <c r="AG405" s="587"/>
      <c r="AH405" s="587"/>
      <c r="AI405" s="587"/>
      <c r="AJ405" s="587"/>
      <c r="AK405" s="587"/>
      <c r="AL405" s="7"/>
      <c r="AM405" s="7"/>
    </row>
    <row r="406" spans="1:39" s="209" customFormat="1">
      <c r="A406" s="208"/>
      <c r="B406" s="1"/>
      <c r="C406" s="2"/>
      <c r="D406" s="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1"/>
      <c r="AL406" s="121"/>
      <c r="AM406" s="112"/>
    </row>
    <row r="407" spans="1:39" s="227" customFormat="1" ht="12.75" customHeight="1">
      <c r="A407" s="208"/>
      <c r="B407" s="1"/>
      <c r="C407" s="2"/>
      <c r="D407" s="1"/>
      <c r="E407" s="231"/>
      <c r="F407" s="743" t="s">
        <v>1464</v>
      </c>
      <c r="G407" s="743"/>
      <c r="H407" s="743"/>
      <c r="I407" s="743"/>
      <c r="J407" s="743"/>
      <c r="K407" s="743"/>
      <c r="L407" s="743"/>
      <c r="M407" s="743"/>
      <c r="N407" s="743"/>
      <c r="O407" s="743"/>
      <c r="P407" s="743"/>
      <c r="Q407" s="743"/>
      <c r="R407" s="743"/>
      <c r="S407" s="743"/>
      <c r="T407" s="743"/>
      <c r="U407" s="743"/>
      <c r="V407" s="743"/>
      <c r="W407" s="743"/>
      <c r="X407" s="743"/>
      <c r="Y407" s="743"/>
      <c r="Z407" s="743"/>
      <c r="AA407" s="743"/>
      <c r="AB407" s="743"/>
      <c r="AC407" s="743"/>
      <c r="AD407" s="743"/>
      <c r="AE407" s="743"/>
      <c r="AF407" s="743"/>
      <c r="AG407" s="743"/>
      <c r="AH407" s="743"/>
      <c r="AI407" s="743"/>
      <c r="AJ407" s="743"/>
      <c r="AK407" s="743"/>
      <c r="AL407" s="743"/>
      <c r="AM407" s="261"/>
    </row>
    <row r="408" spans="1:39" s="227" customFormat="1">
      <c r="A408" s="208"/>
      <c r="B408" s="1"/>
      <c r="C408" s="2"/>
      <c r="D408" s="1"/>
      <c r="E408" s="23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221"/>
      <c r="AL408" s="221"/>
      <c r="AM408" s="221"/>
    </row>
    <row r="409" spans="1:39" s="209" customFormat="1">
      <c r="A409" s="208"/>
      <c r="B409" s="1"/>
      <c r="C409" s="2"/>
      <c r="D409" s="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c r="AA409" s="231"/>
      <c r="AB409" s="231"/>
      <c r="AC409" s="568"/>
      <c r="AD409" s="568"/>
      <c r="AE409" s="568"/>
      <c r="AF409" s="231"/>
      <c r="AG409" s="568"/>
      <c r="AH409" s="568"/>
      <c r="AI409" s="568"/>
      <c r="AJ409" s="568"/>
      <c r="AK409" s="568"/>
      <c r="AL409" s="231"/>
      <c r="AM409" s="221"/>
    </row>
    <row r="410" spans="1:39" s="209" customFormat="1">
      <c r="A410" s="208"/>
      <c r="B410" s="1"/>
      <c r="C410" s="2"/>
      <c r="D410" s="1"/>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226" t="s">
        <v>24</v>
      </c>
      <c r="AK410" s="612">
        <f>AK339+1</f>
        <v>6</v>
      </c>
      <c r="AL410" s="612"/>
      <c r="AM410" s="226" t="s">
        <v>24</v>
      </c>
    </row>
    <row r="411" spans="1:39" s="227" customFormat="1">
      <c r="A411" s="208"/>
      <c r="B411" s="1"/>
      <c r="C411" s="2"/>
      <c r="D411" s="1"/>
      <c r="E411" s="265" t="str">
        <f>UPPER($Y$28)</f>
        <v>ПТ ЛОМБАРД "МЕРКУРІЙ"</v>
      </c>
      <c r="F411" s="265"/>
      <c r="G411" s="265"/>
      <c r="H411" s="265"/>
      <c r="I411" s="265"/>
      <c r="J411" s="265"/>
      <c r="K411" s="265"/>
      <c r="L411" s="265"/>
      <c r="M411" s="265"/>
      <c r="N411" s="265"/>
      <c r="O411" s="265"/>
      <c r="P411" s="265"/>
      <c r="Q411" s="265"/>
      <c r="R411" s="265"/>
      <c r="S411" s="265"/>
      <c r="T411" s="265"/>
      <c r="U411" s="265"/>
      <c r="V411" s="265"/>
      <c r="W411" s="265"/>
      <c r="X411" s="265"/>
      <c r="Y411" s="265"/>
      <c r="Z411" s="265"/>
      <c r="AA411" s="265"/>
      <c r="AB411" s="265"/>
      <c r="AC411" s="265"/>
      <c r="AD411" s="265"/>
      <c r="AE411" s="265"/>
      <c r="AF411" s="265"/>
      <c r="AG411" s="265"/>
      <c r="AH411" s="265"/>
      <c r="AI411" s="265"/>
      <c r="AJ411" s="265"/>
      <c r="AK411" s="265"/>
      <c r="AL411" s="265"/>
      <c r="AM411" s="265"/>
    </row>
    <row r="412" spans="1:39" s="227" customFormat="1" ht="12.75" customHeight="1">
      <c r="A412" s="208"/>
      <c r="B412" s="1"/>
      <c r="C412" s="2"/>
      <c r="D412" s="1"/>
      <c r="E412" s="269" t="str">
        <f>UPPER($F$79)</f>
        <v>ЗВІТ ПРО РУХ ГРОШОВИХ КОШТІВ</v>
      </c>
      <c r="F412" s="269"/>
      <c r="G412" s="269"/>
      <c r="H412" s="269"/>
      <c r="I412" s="269"/>
      <c r="J412" s="269"/>
      <c r="K412" s="269"/>
      <c r="L412" s="269"/>
      <c r="M412" s="269"/>
      <c r="N412" s="269"/>
      <c r="O412" s="269"/>
      <c r="P412" s="269"/>
      <c r="Q412" s="269"/>
      <c r="R412" s="269"/>
      <c r="S412" s="269"/>
      <c r="T412" s="269"/>
      <c r="U412" s="269"/>
      <c r="V412" s="269"/>
      <c r="W412" s="269"/>
      <c r="X412" s="269"/>
      <c r="Y412" s="269"/>
      <c r="Z412" s="269"/>
      <c r="AA412" s="269"/>
      <c r="AB412" s="269"/>
      <c r="AC412" s="269"/>
      <c r="AD412" s="269"/>
      <c r="AE412" s="269"/>
      <c r="AF412" s="269"/>
      <c r="AG412" s="269"/>
      <c r="AH412" s="269"/>
      <c r="AI412" s="269"/>
      <c r="AJ412" s="269"/>
      <c r="AK412" s="269"/>
      <c r="AL412" s="269"/>
      <c r="AM412" s="269"/>
    </row>
    <row r="413" spans="1:39" s="227" customFormat="1">
      <c r="A413" s="208"/>
      <c r="B413" s="1"/>
      <c r="C413" s="2"/>
      <c r="D413" s="1"/>
      <c r="E413" s="269" t="str">
        <f>$E$274</f>
        <v>ЗА РІК, ЩО ЗАКІНЧИВСЯ 31 ГРУДНЯ 2020 РОКУ</v>
      </c>
      <c r="F413" s="269"/>
      <c r="G413" s="269"/>
      <c r="H413" s="269"/>
      <c r="I413" s="269"/>
      <c r="J413" s="269"/>
      <c r="K413" s="269"/>
      <c r="L413" s="269"/>
      <c r="M413" s="269"/>
      <c r="N413" s="269"/>
      <c r="O413" s="269"/>
      <c r="P413" s="269"/>
      <c r="Q413" s="269"/>
      <c r="R413" s="269"/>
      <c r="S413" s="269"/>
      <c r="T413" s="269"/>
      <c r="U413" s="269"/>
      <c r="V413" s="269"/>
      <c r="W413" s="269"/>
      <c r="X413" s="269"/>
      <c r="Y413" s="269"/>
      <c r="Z413" s="269"/>
      <c r="AA413" s="269"/>
      <c r="AB413" s="269"/>
      <c r="AC413" s="269"/>
      <c r="AD413" s="269"/>
      <c r="AE413" s="269"/>
      <c r="AF413" s="269"/>
      <c r="AG413" s="269"/>
      <c r="AH413" s="269"/>
      <c r="AI413" s="269"/>
      <c r="AJ413" s="269"/>
      <c r="AK413" s="269"/>
      <c r="AL413" s="269"/>
      <c r="AM413" s="269"/>
    </row>
    <row r="414" spans="1:39" s="227" customFormat="1">
      <c r="A414" s="208"/>
      <c r="B414" s="1"/>
      <c r="C414" s="2"/>
      <c r="D414" s="1"/>
      <c r="E414" s="244" t="str">
        <f>$E$209</f>
        <v>(в тисячах гривень, якщо не вказано інше)</v>
      </c>
      <c r="F414" s="244"/>
      <c r="G414" s="244"/>
      <c r="H414" s="244"/>
      <c r="I414" s="244"/>
      <c r="J414" s="244"/>
      <c r="K414" s="244"/>
      <c r="L414" s="244"/>
      <c r="M414" s="244"/>
      <c r="N414" s="244"/>
      <c r="O414" s="244"/>
      <c r="P414" s="244"/>
      <c r="Q414" s="244"/>
      <c r="R414" s="244"/>
      <c r="S414" s="244"/>
      <c r="T414" s="244"/>
      <c r="U414" s="244"/>
      <c r="V414" s="244"/>
      <c r="W414" s="244"/>
      <c r="X414" s="244"/>
      <c r="Y414" s="244"/>
      <c r="Z414" s="244"/>
      <c r="AA414" s="244"/>
      <c r="AB414" s="244"/>
      <c r="AC414" s="244"/>
      <c r="AD414" s="244"/>
      <c r="AE414" s="244"/>
      <c r="AF414" s="244"/>
      <c r="AG414" s="244"/>
      <c r="AH414" s="244"/>
      <c r="AI414" s="244"/>
      <c r="AJ414" s="244"/>
      <c r="AK414" s="244"/>
      <c r="AL414" s="244"/>
      <c r="AM414" s="244"/>
    </row>
    <row r="415" spans="1:39" s="209" customFormat="1">
      <c r="A415" s="208"/>
      <c r="B415" s="44"/>
      <c r="C415" s="45"/>
      <c r="D415" s="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1"/>
      <c r="AL415" s="121"/>
      <c r="AM415" s="112"/>
    </row>
    <row r="416" spans="1:39" s="231" customFormat="1">
      <c r="A416" s="1"/>
      <c r="B416" s="44"/>
      <c r="C416" s="45"/>
      <c r="D416" s="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595" t="s">
        <v>43</v>
      </c>
      <c r="AD416" s="595"/>
      <c r="AE416" s="595"/>
      <c r="AG416" s="595">
        <v>2020</v>
      </c>
      <c r="AH416" s="595"/>
      <c r="AI416" s="595"/>
      <c r="AJ416" s="595"/>
      <c r="AK416" s="595"/>
      <c r="AL416" s="234"/>
      <c r="AM416" s="282"/>
    </row>
    <row r="417" spans="1:39" s="231" customFormat="1">
      <c r="A417" s="1"/>
      <c r="B417" s="44"/>
      <c r="C417" s="45"/>
      <c r="D417" s="1"/>
      <c r="E417" s="121"/>
      <c r="F417" s="633" t="s">
        <v>120</v>
      </c>
      <c r="G417" s="633"/>
      <c r="H417" s="633"/>
      <c r="I417" s="633"/>
      <c r="J417" s="633"/>
      <c r="K417" s="633"/>
      <c r="L417" s="633"/>
      <c r="M417" s="633"/>
      <c r="N417" s="633"/>
      <c r="O417" s="633"/>
      <c r="P417" s="633"/>
      <c r="Q417" s="633"/>
      <c r="R417" s="633"/>
      <c r="S417" s="633"/>
      <c r="T417" s="633"/>
      <c r="U417" s="633"/>
      <c r="V417" s="633"/>
      <c r="W417" s="633"/>
      <c r="X417" s="633"/>
      <c r="Y417" s="633"/>
      <c r="Z417" s="633"/>
      <c r="AA417" s="633"/>
      <c r="AB417" s="633"/>
      <c r="AC417" s="121"/>
      <c r="AD417" s="121"/>
      <c r="AE417" s="121"/>
      <c r="AF417" s="121"/>
      <c r="AG417" s="121"/>
      <c r="AH417" s="121"/>
      <c r="AI417" s="121"/>
      <c r="AJ417" s="121"/>
      <c r="AK417" s="121"/>
      <c r="AL417" s="121"/>
      <c r="AM417" s="112"/>
    </row>
    <row r="418" spans="1:39" s="231" customFormat="1">
      <c r="A418" s="1"/>
      <c r="B418" s="44"/>
      <c r="C418" s="45"/>
      <c r="D418" s="1"/>
      <c r="E418" s="121"/>
      <c r="F418" s="642" t="s">
        <v>111</v>
      </c>
      <c r="G418" s="642"/>
      <c r="H418" s="642"/>
      <c r="I418" s="642"/>
      <c r="J418" s="642"/>
      <c r="K418" s="642"/>
      <c r="L418" s="642"/>
      <c r="M418" s="642"/>
      <c r="N418" s="642"/>
      <c r="O418" s="642"/>
      <c r="P418" s="642"/>
      <c r="Q418" s="642"/>
      <c r="R418" s="642"/>
      <c r="S418" s="642"/>
      <c r="T418" s="642"/>
      <c r="U418" s="642"/>
      <c r="V418" s="642"/>
      <c r="W418" s="642"/>
      <c r="X418" s="642"/>
      <c r="Y418" s="642"/>
      <c r="Z418" s="642"/>
      <c r="AA418" s="642"/>
      <c r="AB418" s="642"/>
      <c r="AC418" s="121"/>
      <c r="AD418" s="121"/>
      <c r="AE418" s="121"/>
      <c r="AF418" s="121"/>
      <c r="AG418" s="593">
        <f>AA301</f>
        <v>278.97554999999909</v>
      </c>
      <c r="AH418" s="593"/>
      <c r="AI418" s="593"/>
      <c r="AJ418" s="593"/>
      <c r="AK418" s="593"/>
      <c r="AL418" s="121"/>
      <c r="AM418" s="222"/>
    </row>
    <row r="419" spans="1:39" s="231" customFormat="1">
      <c r="A419" s="1"/>
      <c r="B419" s="44"/>
      <c r="C419" s="45"/>
      <c r="D419" s="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232"/>
      <c r="AH419" s="232"/>
      <c r="AI419" s="232"/>
      <c r="AJ419" s="232"/>
      <c r="AK419" s="232"/>
      <c r="AL419" s="121"/>
      <c r="AM419" s="237"/>
    </row>
    <row r="420" spans="1:39" s="231" customFormat="1">
      <c r="A420" s="1"/>
      <c r="B420" s="44"/>
      <c r="C420" s="45"/>
      <c r="D420" s="1"/>
      <c r="E420" s="121"/>
      <c r="F420" s="643" t="s">
        <v>121</v>
      </c>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121"/>
      <c r="AD420" s="121"/>
      <c r="AE420" s="121"/>
      <c r="AF420" s="121"/>
      <c r="AG420" s="593"/>
      <c r="AH420" s="593"/>
      <c r="AI420" s="593"/>
      <c r="AJ420" s="593"/>
      <c r="AK420" s="593"/>
      <c r="AL420" s="121"/>
      <c r="AM420" s="222"/>
    </row>
    <row r="421" spans="1:39" s="231" customFormat="1" ht="12" customHeight="1">
      <c r="A421" s="1"/>
      <c r="B421" s="44"/>
      <c r="C421" s="45"/>
      <c r="D421" s="1"/>
      <c r="E421" s="121"/>
      <c r="F421" s="641" t="s">
        <v>122</v>
      </c>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254"/>
      <c r="AC421" s="640" t="str">
        <f>MID(F1229,1,2)</f>
        <v>11</v>
      </c>
      <c r="AD421" s="640"/>
      <c r="AE421" s="640"/>
      <c r="AF421" s="121"/>
      <c r="AG421" s="593"/>
      <c r="AH421" s="593"/>
      <c r="AI421" s="593"/>
      <c r="AJ421" s="593"/>
      <c r="AK421" s="593"/>
      <c r="AL421" s="121"/>
      <c r="AM421" s="222"/>
    </row>
    <row r="422" spans="1:39" hidden="1">
      <c r="C422" s="48"/>
      <c r="E422" s="28"/>
      <c r="F422" s="641" t="s">
        <v>123</v>
      </c>
      <c r="G422" s="641"/>
      <c r="H422" s="641"/>
      <c r="I422" s="641"/>
      <c r="J422" s="641"/>
      <c r="K422" s="641"/>
      <c r="L422" s="641"/>
      <c r="M422" s="641"/>
      <c r="N422" s="641"/>
      <c r="O422" s="641"/>
      <c r="P422" s="641"/>
      <c r="Q422" s="641"/>
      <c r="R422" s="641"/>
      <c r="S422" s="641"/>
      <c r="T422" s="641"/>
      <c r="U422" s="641"/>
      <c r="V422" s="641"/>
      <c r="W422" s="641"/>
      <c r="X422" s="641"/>
      <c r="Y422" s="641"/>
      <c r="Z422" s="641"/>
      <c r="AA422" s="641"/>
      <c r="AB422" s="641"/>
      <c r="AC422" s="28"/>
      <c r="AD422" s="28"/>
      <c r="AE422" s="28"/>
      <c r="AF422" s="28"/>
      <c r="AG422" s="593"/>
      <c r="AH422" s="593"/>
      <c r="AI422" s="593"/>
      <c r="AJ422" s="593"/>
      <c r="AK422" s="593"/>
      <c r="AL422" s="28"/>
      <c r="AM422" s="47"/>
    </row>
    <row r="423" spans="1:39" s="231" customFormat="1">
      <c r="A423" s="1"/>
      <c r="B423" s="44"/>
      <c r="C423" s="49"/>
      <c r="D423" s="1"/>
      <c r="E423" s="121"/>
      <c r="F423" s="641" t="s">
        <v>71</v>
      </c>
      <c r="G423" s="641"/>
      <c r="H423" s="641"/>
      <c r="I423" s="641"/>
      <c r="J423" s="641"/>
      <c r="K423" s="641"/>
      <c r="L423" s="641"/>
      <c r="M423" s="641"/>
      <c r="N423" s="641"/>
      <c r="O423" s="641"/>
      <c r="P423" s="641"/>
      <c r="Q423" s="641"/>
      <c r="R423" s="641"/>
      <c r="S423" s="641"/>
      <c r="T423" s="641"/>
      <c r="U423" s="641"/>
      <c r="V423" s="641"/>
      <c r="W423" s="641"/>
      <c r="X423" s="641"/>
      <c r="Y423" s="641"/>
      <c r="Z423" s="641"/>
      <c r="AA423" s="641"/>
      <c r="AB423" s="641"/>
      <c r="AC423" s="587"/>
      <c r="AD423" s="587"/>
      <c r="AE423" s="587"/>
      <c r="AF423" s="121"/>
      <c r="AG423" s="593">
        <v>1</v>
      </c>
      <c r="AH423" s="593"/>
      <c r="AI423" s="593"/>
      <c r="AJ423" s="593"/>
      <c r="AK423" s="593"/>
      <c r="AL423" s="121"/>
      <c r="AM423" s="222"/>
    </row>
    <row r="424" spans="1:39" s="231" customFormat="1">
      <c r="A424" s="1"/>
      <c r="B424" s="44"/>
      <c r="C424" s="49"/>
      <c r="D424" s="1"/>
      <c r="E424" s="32"/>
      <c r="F424" s="646" t="s">
        <v>124</v>
      </c>
      <c r="G424" s="646"/>
      <c r="H424" s="646"/>
      <c r="I424" s="646"/>
      <c r="J424" s="646"/>
      <c r="K424" s="646"/>
      <c r="L424" s="646"/>
      <c r="M424" s="646"/>
      <c r="N424" s="646"/>
      <c r="O424" s="646"/>
      <c r="P424" s="646"/>
      <c r="Q424" s="646"/>
      <c r="R424" s="646"/>
      <c r="S424" s="646"/>
      <c r="T424" s="646"/>
      <c r="U424" s="646"/>
      <c r="V424" s="646"/>
      <c r="W424" s="646"/>
      <c r="X424" s="646"/>
      <c r="Y424" s="646"/>
      <c r="Z424" s="646"/>
      <c r="AA424" s="646"/>
      <c r="AB424" s="646"/>
      <c r="AC424" s="588"/>
      <c r="AD424" s="588"/>
      <c r="AE424" s="588"/>
      <c r="AF424" s="32"/>
      <c r="AG424" s="589"/>
      <c r="AH424" s="589"/>
      <c r="AI424" s="589"/>
      <c r="AJ424" s="589"/>
      <c r="AK424" s="589"/>
      <c r="AL424" s="32"/>
      <c r="AM424" s="222"/>
    </row>
    <row r="425" spans="1:39" s="231" customFormat="1">
      <c r="A425" s="1"/>
      <c r="B425" s="44"/>
      <c r="C425" s="45"/>
      <c r="D425" s="1"/>
      <c r="E425" s="32"/>
      <c r="F425" s="647"/>
      <c r="G425" s="647"/>
      <c r="H425" s="647"/>
      <c r="I425" s="647"/>
      <c r="J425" s="647"/>
      <c r="K425" s="647"/>
      <c r="L425" s="647"/>
      <c r="M425" s="647"/>
      <c r="N425" s="647"/>
      <c r="O425" s="647"/>
      <c r="P425" s="647"/>
      <c r="Q425" s="647"/>
      <c r="R425" s="647"/>
      <c r="S425" s="647"/>
      <c r="T425" s="647"/>
      <c r="U425" s="647"/>
      <c r="V425" s="647"/>
      <c r="W425" s="647"/>
      <c r="X425" s="647"/>
      <c r="Y425" s="647"/>
      <c r="Z425" s="647"/>
      <c r="AA425" s="647"/>
      <c r="AB425" s="647"/>
      <c r="AC425" s="32"/>
      <c r="AD425" s="32"/>
      <c r="AE425" s="32"/>
      <c r="AF425" s="32"/>
      <c r="AG425" s="621">
        <f>AG421+AG423</f>
        <v>1</v>
      </c>
      <c r="AH425" s="621"/>
      <c r="AI425" s="621"/>
      <c r="AJ425" s="621"/>
      <c r="AK425" s="621"/>
      <c r="AL425" s="346"/>
      <c r="AM425" s="240"/>
    </row>
    <row r="426" spans="1:39" s="231" customFormat="1">
      <c r="A426" s="1"/>
      <c r="B426" s="44"/>
      <c r="C426" s="45"/>
      <c r="D426" s="1"/>
      <c r="E426" s="121"/>
      <c r="F426" s="633" t="s">
        <v>125</v>
      </c>
      <c r="G426" s="633"/>
      <c r="H426" s="633"/>
      <c r="I426" s="633"/>
      <c r="J426" s="633"/>
      <c r="K426" s="633"/>
      <c r="L426" s="633"/>
      <c r="M426" s="633"/>
      <c r="N426" s="633"/>
      <c r="O426" s="633"/>
      <c r="P426" s="633"/>
      <c r="Q426" s="633"/>
      <c r="R426" s="633"/>
      <c r="S426" s="633"/>
      <c r="T426" s="633"/>
      <c r="U426" s="633"/>
      <c r="V426" s="633"/>
      <c r="W426" s="633"/>
      <c r="X426" s="633"/>
      <c r="Y426" s="633"/>
      <c r="Z426" s="633"/>
      <c r="AA426" s="633"/>
      <c r="AB426" s="633"/>
      <c r="AC426" s="121"/>
      <c r="AD426" s="121"/>
      <c r="AE426" s="121"/>
      <c r="AF426" s="121"/>
      <c r="AG426" s="593"/>
      <c r="AH426" s="593"/>
      <c r="AI426" s="593"/>
      <c r="AJ426" s="593"/>
      <c r="AK426" s="593"/>
      <c r="AL426" s="121"/>
      <c r="AM426" s="222"/>
    </row>
    <row r="427" spans="1:39" s="231" customFormat="1">
      <c r="A427" s="1"/>
      <c r="B427" s="44"/>
      <c r="C427" s="49"/>
      <c r="D427" s="1"/>
      <c r="E427" s="121"/>
      <c r="F427" s="641" t="s">
        <v>126</v>
      </c>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587"/>
      <c r="AD427" s="587"/>
      <c r="AE427" s="587"/>
      <c r="AF427" s="121"/>
      <c r="AG427" s="593">
        <f>-1923</f>
        <v>-1923</v>
      </c>
      <c r="AH427" s="593"/>
      <c r="AI427" s="593"/>
      <c r="AJ427" s="593"/>
      <c r="AK427" s="593"/>
      <c r="AL427" s="121"/>
      <c r="AM427" s="222"/>
    </row>
    <row r="428" spans="1:39" s="231" customFormat="1">
      <c r="A428" s="1"/>
      <c r="B428" s="44"/>
      <c r="C428" s="45"/>
      <c r="D428" s="1"/>
      <c r="E428" s="121"/>
      <c r="F428" s="641" t="s">
        <v>127</v>
      </c>
      <c r="G428" s="641"/>
      <c r="H428" s="641"/>
      <c r="I428" s="641"/>
      <c r="J428" s="641"/>
      <c r="K428" s="641"/>
      <c r="L428" s="641"/>
      <c r="M428" s="641"/>
      <c r="N428" s="641"/>
      <c r="O428" s="641"/>
      <c r="P428" s="641"/>
      <c r="Q428" s="641"/>
      <c r="R428" s="641"/>
      <c r="S428" s="641"/>
      <c r="T428" s="641"/>
      <c r="U428" s="641"/>
      <c r="V428" s="641"/>
      <c r="W428" s="641"/>
      <c r="X428" s="641"/>
      <c r="Y428" s="641"/>
      <c r="Z428" s="641"/>
      <c r="AA428" s="641"/>
      <c r="AB428" s="641"/>
      <c r="AC428" s="121"/>
      <c r="AD428" s="121"/>
      <c r="AE428" s="121"/>
      <c r="AF428" s="121"/>
      <c r="AG428" s="593">
        <v>-580</v>
      </c>
      <c r="AH428" s="593"/>
      <c r="AI428" s="593"/>
      <c r="AJ428" s="593"/>
      <c r="AK428" s="593"/>
      <c r="AL428" s="121"/>
      <c r="AM428" s="222"/>
    </row>
    <row r="429" spans="1:39" s="231" customFormat="1">
      <c r="A429" s="1"/>
      <c r="B429" s="44"/>
      <c r="C429" s="49"/>
      <c r="D429" s="1"/>
      <c r="E429" s="121"/>
      <c r="F429" s="641"/>
      <c r="G429" s="641"/>
      <c r="H429" s="641"/>
      <c r="I429" s="641"/>
      <c r="J429" s="641"/>
      <c r="K429" s="641"/>
      <c r="L429" s="641"/>
      <c r="M429" s="641"/>
      <c r="N429" s="641"/>
      <c r="O429" s="641"/>
      <c r="P429" s="641"/>
      <c r="Q429" s="641"/>
      <c r="R429" s="641"/>
      <c r="S429" s="641"/>
      <c r="T429" s="641"/>
      <c r="U429" s="641"/>
      <c r="V429" s="641"/>
      <c r="W429" s="641"/>
      <c r="X429" s="641"/>
      <c r="Y429" s="641"/>
      <c r="Z429" s="641"/>
      <c r="AA429" s="641"/>
      <c r="AB429" s="641"/>
      <c r="AC429" s="587"/>
      <c r="AD429" s="587"/>
      <c r="AE429" s="587"/>
      <c r="AF429" s="121"/>
      <c r="AG429" s="593"/>
      <c r="AH429" s="593"/>
      <c r="AI429" s="593"/>
      <c r="AJ429" s="593"/>
      <c r="AK429" s="593"/>
      <c r="AL429" s="121"/>
      <c r="AM429" s="222"/>
    </row>
    <row r="430" spans="1:39" s="231" customFormat="1">
      <c r="A430" s="1"/>
      <c r="B430" s="44"/>
      <c r="C430" s="49"/>
      <c r="D430" s="1"/>
      <c r="E430" s="121"/>
      <c r="F430" s="645" t="s">
        <v>128</v>
      </c>
      <c r="G430" s="645"/>
      <c r="H430" s="645"/>
      <c r="I430" s="645"/>
      <c r="J430" s="645"/>
      <c r="K430" s="645"/>
      <c r="L430" s="645"/>
      <c r="M430" s="645"/>
      <c r="N430" s="645"/>
      <c r="O430" s="645"/>
      <c r="P430" s="645"/>
      <c r="Q430" s="645"/>
      <c r="R430" s="645"/>
      <c r="S430" s="645"/>
      <c r="T430" s="645"/>
      <c r="U430" s="645"/>
      <c r="V430" s="645"/>
      <c r="W430" s="645"/>
      <c r="X430" s="645"/>
      <c r="Y430" s="645"/>
      <c r="Z430" s="645"/>
      <c r="AA430" s="645"/>
      <c r="AB430" s="645"/>
      <c r="AC430" s="587" t="str">
        <f>MID(F1393,1,2)</f>
        <v>15</v>
      </c>
      <c r="AD430" s="587"/>
      <c r="AE430" s="587"/>
      <c r="AF430" s="121"/>
      <c r="AG430" s="593"/>
      <c r="AH430" s="593"/>
      <c r="AI430" s="593"/>
      <c r="AJ430" s="593"/>
      <c r="AK430" s="593"/>
      <c r="AL430" s="121"/>
      <c r="AM430" s="222"/>
    </row>
    <row r="431" spans="1:39" s="231" customFormat="1">
      <c r="A431" s="1"/>
      <c r="B431" s="44"/>
      <c r="C431" s="49"/>
      <c r="D431" s="1"/>
      <c r="E431" s="121"/>
      <c r="F431" s="644" t="s">
        <v>129</v>
      </c>
      <c r="G431" s="644"/>
      <c r="H431" s="644"/>
      <c r="I431" s="644"/>
      <c r="J431" s="644"/>
      <c r="K431" s="644"/>
      <c r="L431" s="644"/>
      <c r="M431" s="644"/>
      <c r="N431" s="644"/>
      <c r="O431" s="644"/>
      <c r="P431" s="644"/>
      <c r="Q431" s="644"/>
      <c r="R431" s="644"/>
      <c r="S431" s="644"/>
      <c r="T431" s="644"/>
      <c r="U431" s="644"/>
      <c r="V431" s="644"/>
      <c r="W431" s="644"/>
      <c r="X431" s="644"/>
      <c r="Y431" s="644"/>
      <c r="Z431" s="644"/>
      <c r="AA431" s="644"/>
      <c r="AB431" s="644"/>
      <c r="AC431" s="263"/>
      <c r="AD431" s="263"/>
      <c r="AE431" s="263"/>
      <c r="AF431" s="121"/>
      <c r="AG431" s="564"/>
      <c r="AH431" s="564"/>
      <c r="AI431" s="564"/>
      <c r="AJ431" s="564"/>
      <c r="AK431" s="564"/>
      <c r="AL431" s="121"/>
      <c r="AM431" s="237"/>
    </row>
    <row r="432" spans="1:39" s="231" customFormat="1">
      <c r="A432" s="1"/>
      <c r="B432" s="44"/>
      <c r="C432" s="49"/>
      <c r="D432" s="1"/>
      <c r="E432" s="121"/>
      <c r="F432" s="644"/>
      <c r="G432" s="644"/>
      <c r="H432" s="644"/>
      <c r="I432" s="644"/>
      <c r="J432" s="644"/>
      <c r="K432" s="644"/>
      <c r="L432" s="644"/>
      <c r="M432" s="644"/>
      <c r="N432" s="644"/>
      <c r="O432" s="644"/>
      <c r="P432" s="644"/>
      <c r="Q432" s="644"/>
      <c r="R432" s="644"/>
      <c r="S432" s="644"/>
      <c r="T432" s="644"/>
      <c r="U432" s="644"/>
      <c r="V432" s="644"/>
      <c r="W432" s="644"/>
      <c r="X432" s="644"/>
      <c r="Y432" s="644"/>
      <c r="Z432" s="644"/>
      <c r="AA432" s="644"/>
      <c r="AB432" s="644"/>
      <c r="AC432" s="587"/>
      <c r="AD432" s="587"/>
      <c r="AE432" s="587"/>
      <c r="AF432" s="121"/>
      <c r="AG432" s="593">
        <v>1297</v>
      </c>
      <c r="AH432" s="593"/>
      <c r="AI432" s="593"/>
      <c r="AJ432" s="593"/>
      <c r="AK432" s="593"/>
      <c r="AL432" s="121"/>
      <c r="AM432" s="222"/>
    </row>
    <row r="433" spans="1:41" s="231" customFormat="1">
      <c r="A433" s="1"/>
      <c r="B433" s="44"/>
      <c r="C433" s="45"/>
      <c r="D433" s="1"/>
      <c r="E433" s="121"/>
      <c r="F433" s="633" t="s">
        <v>130</v>
      </c>
      <c r="G433" s="633"/>
      <c r="H433" s="633"/>
      <c r="I433" s="633"/>
      <c r="J433" s="633"/>
      <c r="K433" s="633"/>
      <c r="L433" s="633"/>
      <c r="M433" s="633"/>
      <c r="N433" s="633"/>
      <c r="O433" s="633"/>
      <c r="P433" s="633"/>
      <c r="Q433" s="633"/>
      <c r="R433" s="633"/>
      <c r="S433" s="633"/>
      <c r="T433" s="633"/>
      <c r="U433" s="633"/>
      <c r="V433" s="633"/>
      <c r="W433" s="633"/>
      <c r="X433" s="633"/>
      <c r="Y433" s="633"/>
      <c r="Z433" s="633"/>
      <c r="AA433" s="633"/>
      <c r="AB433" s="633"/>
      <c r="AC433" s="121"/>
      <c r="AD433" s="121"/>
      <c r="AE433" s="121"/>
      <c r="AF433" s="121"/>
      <c r="AG433" s="621">
        <f>AG427+AG428+AG430+AG432</f>
        <v>-1206</v>
      </c>
      <c r="AH433" s="621"/>
      <c r="AI433" s="621"/>
      <c r="AJ433" s="621"/>
      <c r="AK433" s="621"/>
      <c r="AL433" s="118"/>
      <c r="AM433" s="240"/>
    </row>
    <row r="434" spans="1:41" s="231" customFormat="1" ht="7.5" customHeight="1">
      <c r="A434" s="1"/>
      <c r="B434" s="44"/>
      <c r="C434" s="45"/>
      <c r="D434" s="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565"/>
      <c r="AH434" s="565"/>
      <c r="AI434" s="565"/>
      <c r="AJ434" s="565"/>
      <c r="AK434" s="565"/>
      <c r="AL434" s="121"/>
      <c r="AM434" s="241"/>
    </row>
    <row r="435" spans="1:41" s="231" customFormat="1">
      <c r="A435" s="1"/>
      <c r="B435" s="44"/>
      <c r="C435" s="49"/>
      <c r="D435" s="1"/>
      <c r="E435" s="121"/>
      <c r="F435" s="641" t="s">
        <v>131</v>
      </c>
      <c r="G435" s="641"/>
      <c r="H435" s="641"/>
      <c r="I435" s="641"/>
      <c r="J435" s="641"/>
      <c r="K435" s="641"/>
      <c r="L435" s="641"/>
      <c r="M435" s="641"/>
      <c r="N435" s="641"/>
      <c r="O435" s="641"/>
      <c r="P435" s="641"/>
      <c r="Q435" s="641"/>
      <c r="R435" s="641"/>
      <c r="S435" s="641"/>
      <c r="T435" s="641"/>
      <c r="U435" s="641"/>
      <c r="V435" s="641"/>
      <c r="W435" s="641"/>
      <c r="X435" s="641"/>
      <c r="Y435" s="641"/>
      <c r="Z435" s="641"/>
      <c r="AA435" s="641"/>
      <c r="AB435" s="641"/>
      <c r="AC435" s="587"/>
      <c r="AD435" s="587"/>
      <c r="AE435" s="587"/>
      <c r="AF435" s="121"/>
      <c r="AG435" s="593"/>
      <c r="AH435" s="593"/>
      <c r="AI435" s="593"/>
      <c r="AJ435" s="593"/>
      <c r="AK435" s="593"/>
      <c r="AL435" s="121"/>
      <c r="AM435" s="222"/>
    </row>
    <row r="436" spans="1:41" s="231" customFormat="1" ht="7.5" customHeight="1">
      <c r="A436" s="1"/>
      <c r="B436" s="44"/>
      <c r="C436" s="49"/>
      <c r="D436" s="1"/>
      <c r="E436" s="121"/>
      <c r="F436" s="254"/>
      <c r="G436" s="254"/>
      <c r="H436" s="254"/>
      <c r="I436" s="254"/>
      <c r="J436" s="254"/>
      <c r="K436" s="254"/>
      <c r="L436" s="254"/>
      <c r="M436" s="254"/>
      <c r="N436" s="254"/>
      <c r="O436" s="254"/>
      <c r="P436" s="254"/>
      <c r="Q436" s="254"/>
      <c r="R436" s="254"/>
      <c r="S436" s="254"/>
      <c r="T436" s="254"/>
      <c r="U436" s="254"/>
      <c r="V436" s="254"/>
      <c r="W436" s="254"/>
      <c r="X436" s="254"/>
      <c r="Y436" s="254"/>
      <c r="Z436" s="254"/>
      <c r="AA436" s="254"/>
      <c r="AB436" s="254"/>
      <c r="AC436" s="263"/>
      <c r="AD436" s="263"/>
      <c r="AE436" s="263"/>
      <c r="AF436" s="121"/>
      <c r="AG436" s="564"/>
      <c r="AH436" s="564"/>
      <c r="AI436" s="564"/>
      <c r="AJ436" s="564"/>
      <c r="AK436" s="564"/>
      <c r="AL436" s="121"/>
      <c r="AM436" s="237"/>
    </row>
    <row r="437" spans="1:41" s="231" customFormat="1">
      <c r="A437" s="1"/>
      <c r="B437" s="44"/>
      <c r="C437" s="45"/>
      <c r="D437" s="1"/>
      <c r="E437" s="121"/>
      <c r="F437" s="630" t="s">
        <v>132</v>
      </c>
      <c r="G437" s="630"/>
      <c r="H437" s="630"/>
      <c r="I437" s="630"/>
      <c r="J437" s="630"/>
      <c r="K437" s="630"/>
      <c r="L437" s="630"/>
      <c r="M437" s="630"/>
      <c r="N437" s="630"/>
      <c r="O437" s="630"/>
      <c r="P437" s="630"/>
      <c r="Q437" s="630"/>
      <c r="R437" s="630"/>
      <c r="S437" s="630"/>
      <c r="T437" s="630"/>
      <c r="U437" s="630"/>
      <c r="V437" s="630"/>
      <c r="W437" s="630"/>
      <c r="X437" s="630"/>
      <c r="Y437" s="630"/>
      <c r="Z437" s="630"/>
      <c r="AA437" s="630"/>
      <c r="AB437" s="630"/>
      <c r="AC437" s="121"/>
      <c r="AD437" s="121"/>
      <c r="AE437" s="121"/>
      <c r="AF437" s="121"/>
      <c r="AG437" s="598">
        <f>AG425+AG433+AG435</f>
        <v>-1205</v>
      </c>
      <c r="AH437" s="598"/>
      <c r="AI437" s="598"/>
      <c r="AJ437" s="598"/>
      <c r="AK437" s="598"/>
      <c r="AL437" s="118"/>
      <c r="AM437" s="240"/>
      <c r="AN437" s="266"/>
      <c r="AO437" s="266"/>
    </row>
    <row r="438" spans="1:41" s="231" customFormat="1">
      <c r="A438" s="1"/>
      <c r="B438" s="44"/>
      <c r="C438" s="45"/>
      <c r="D438" s="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12"/>
    </row>
    <row r="439" spans="1:41" s="231" customFormat="1">
      <c r="A439" s="1"/>
      <c r="B439" s="44"/>
      <c r="C439" s="45"/>
      <c r="D439" s="1"/>
      <c r="E439" s="121"/>
      <c r="F439" s="633" t="s">
        <v>133</v>
      </c>
      <c r="G439" s="633"/>
      <c r="H439" s="633"/>
      <c r="I439" s="633"/>
      <c r="J439" s="633"/>
      <c r="K439" s="633"/>
      <c r="L439" s="633"/>
      <c r="M439" s="633"/>
      <c r="N439" s="633"/>
      <c r="O439" s="633"/>
      <c r="P439" s="633"/>
      <c r="Q439" s="633"/>
      <c r="R439" s="633"/>
      <c r="S439" s="633"/>
      <c r="T439" s="633"/>
      <c r="U439" s="633"/>
      <c r="V439" s="633"/>
      <c r="W439" s="633"/>
      <c r="X439" s="633"/>
      <c r="Y439" s="633"/>
      <c r="Z439" s="633"/>
      <c r="AA439" s="633"/>
      <c r="AB439" s="633"/>
      <c r="AC439" s="633"/>
      <c r="AD439" s="121"/>
      <c r="AE439" s="121"/>
      <c r="AF439" s="121"/>
      <c r="AG439" s="593"/>
      <c r="AH439" s="593"/>
      <c r="AI439" s="593"/>
      <c r="AJ439" s="593"/>
      <c r="AK439" s="593"/>
      <c r="AL439" s="121"/>
      <c r="AM439" s="222"/>
    </row>
    <row r="440" spans="1:41" s="231" customFormat="1" ht="7.5" customHeight="1">
      <c r="A440" s="1"/>
      <c r="B440" s="44"/>
      <c r="C440" s="45"/>
      <c r="D440" s="1"/>
      <c r="E440" s="121"/>
      <c r="F440" s="256"/>
      <c r="G440" s="256"/>
      <c r="H440" s="256"/>
      <c r="I440" s="256"/>
      <c r="J440" s="256"/>
      <c r="K440" s="256"/>
      <c r="L440" s="256"/>
      <c r="M440" s="256"/>
      <c r="N440" s="256"/>
      <c r="O440" s="256"/>
      <c r="P440" s="256"/>
      <c r="Q440" s="256"/>
      <c r="R440" s="256"/>
      <c r="S440" s="256"/>
      <c r="T440" s="256"/>
      <c r="U440" s="256"/>
      <c r="V440" s="256"/>
      <c r="W440" s="256"/>
      <c r="X440" s="256"/>
      <c r="Y440" s="256"/>
      <c r="Z440" s="256"/>
      <c r="AA440" s="256"/>
      <c r="AB440" s="256"/>
      <c r="AC440" s="256"/>
      <c r="AD440" s="121"/>
      <c r="AE440" s="121"/>
      <c r="AF440" s="121"/>
      <c r="AG440" s="232"/>
      <c r="AH440" s="232"/>
      <c r="AI440" s="232"/>
      <c r="AJ440" s="232"/>
      <c r="AK440" s="232"/>
      <c r="AL440" s="121"/>
      <c r="AM440" s="237"/>
    </row>
    <row r="441" spans="1:41" s="231" customFormat="1">
      <c r="A441" s="1"/>
      <c r="B441" s="44"/>
      <c r="C441" s="49"/>
      <c r="D441" s="1"/>
      <c r="E441" s="121"/>
      <c r="F441" s="642" t="s">
        <v>134</v>
      </c>
      <c r="G441" s="642"/>
      <c r="H441" s="642"/>
      <c r="I441" s="642"/>
      <c r="J441" s="642"/>
      <c r="K441" s="642"/>
      <c r="L441" s="642"/>
      <c r="M441" s="642"/>
      <c r="N441" s="642"/>
      <c r="O441" s="642"/>
      <c r="P441" s="642"/>
      <c r="Q441" s="642"/>
      <c r="R441" s="642"/>
      <c r="S441" s="642"/>
      <c r="T441" s="642"/>
      <c r="U441" s="642"/>
      <c r="V441" s="642"/>
      <c r="W441" s="642"/>
      <c r="X441" s="642"/>
      <c r="Y441" s="642"/>
      <c r="Z441" s="642"/>
      <c r="AA441" s="642"/>
      <c r="AB441" s="642"/>
      <c r="AC441" s="587"/>
      <c r="AD441" s="587"/>
      <c r="AE441" s="587"/>
      <c r="AF441" s="121"/>
      <c r="AG441" s="593"/>
      <c r="AH441" s="593"/>
      <c r="AI441" s="593"/>
      <c r="AJ441" s="593"/>
      <c r="AK441" s="593"/>
      <c r="AL441" s="121"/>
      <c r="AM441" s="222"/>
    </row>
    <row r="442" spans="1:41" s="231" customFormat="1" ht="7.5" customHeight="1">
      <c r="A442" s="1"/>
      <c r="B442" s="44"/>
      <c r="C442" s="45"/>
      <c r="D442" s="1"/>
      <c r="E442" s="121"/>
      <c r="F442" s="650"/>
      <c r="G442" s="650"/>
      <c r="H442" s="650"/>
      <c r="I442" s="650"/>
      <c r="J442" s="650"/>
      <c r="K442" s="650"/>
      <c r="L442" s="650"/>
      <c r="M442" s="650"/>
      <c r="N442" s="650"/>
      <c r="O442" s="650"/>
      <c r="P442" s="650"/>
      <c r="Q442" s="650"/>
      <c r="R442" s="650"/>
      <c r="S442" s="650"/>
      <c r="T442" s="650"/>
      <c r="U442" s="650"/>
      <c r="V442" s="650"/>
      <c r="W442" s="650"/>
      <c r="X442" s="650"/>
      <c r="Y442" s="650"/>
      <c r="Z442" s="650"/>
      <c r="AA442" s="650"/>
      <c r="AB442" s="650"/>
      <c r="AC442" s="121"/>
      <c r="AD442" s="121"/>
      <c r="AE442" s="121"/>
      <c r="AF442" s="121"/>
      <c r="AG442" s="593"/>
      <c r="AH442" s="593"/>
      <c r="AI442" s="593"/>
      <c r="AJ442" s="593"/>
      <c r="AK442" s="593"/>
      <c r="AL442" s="121"/>
      <c r="AM442" s="222"/>
    </row>
    <row r="443" spans="1:41" s="231" customFormat="1">
      <c r="A443" s="1"/>
      <c r="B443" s="44"/>
      <c r="C443" s="45"/>
      <c r="D443" s="1"/>
      <c r="E443" s="121"/>
      <c r="F443" s="630" t="s">
        <v>135</v>
      </c>
      <c r="G443" s="630"/>
      <c r="H443" s="630"/>
      <c r="I443" s="630"/>
      <c r="J443" s="630"/>
      <c r="K443" s="630"/>
      <c r="L443" s="630"/>
      <c r="M443" s="630"/>
      <c r="N443" s="630"/>
      <c r="O443" s="630"/>
      <c r="P443" s="630"/>
      <c r="Q443" s="630"/>
      <c r="R443" s="630"/>
      <c r="S443" s="630"/>
      <c r="T443" s="630"/>
      <c r="U443" s="630"/>
      <c r="V443" s="630"/>
      <c r="W443" s="630"/>
      <c r="X443" s="630"/>
      <c r="Y443" s="630"/>
      <c r="Z443" s="630"/>
      <c r="AA443" s="630"/>
      <c r="AB443" s="630"/>
      <c r="AC443" s="121"/>
      <c r="AD443" s="121"/>
      <c r="AE443" s="121"/>
      <c r="AF443" s="121"/>
      <c r="AG443" s="598">
        <f>AG441</f>
        <v>0</v>
      </c>
      <c r="AH443" s="598"/>
      <c r="AI443" s="598"/>
      <c r="AJ443" s="598"/>
      <c r="AK443" s="598"/>
      <c r="AL443" s="121"/>
      <c r="AM443" s="240"/>
      <c r="AN443" s="266"/>
      <c r="AO443" s="266"/>
    </row>
    <row r="444" spans="1:41" s="231" customFormat="1">
      <c r="A444" s="1"/>
      <c r="B444" s="44"/>
      <c r="C444" s="45"/>
      <c r="D444" s="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1"/>
      <c r="AL444" s="121"/>
      <c r="AM444" s="112"/>
    </row>
    <row r="445" spans="1:41" s="231" customFormat="1">
      <c r="A445" s="1"/>
      <c r="B445" s="44"/>
      <c r="C445" s="45"/>
      <c r="D445" s="1"/>
      <c r="E445" s="121"/>
      <c r="F445" s="643" t="s">
        <v>136</v>
      </c>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121"/>
      <c r="AE445" s="121"/>
      <c r="AF445" s="121"/>
      <c r="AG445" s="593"/>
      <c r="AH445" s="593"/>
      <c r="AI445" s="593"/>
      <c r="AJ445" s="593"/>
      <c r="AK445" s="593"/>
      <c r="AL445" s="121"/>
      <c r="AM445" s="222"/>
    </row>
    <row r="446" spans="1:41" s="231" customFormat="1">
      <c r="A446" s="1"/>
      <c r="B446" s="44"/>
      <c r="C446" s="45"/>
      <c r="D446" s="1"/>
      <c r="E446" s="121"/>
      <c r="F446" s="648" t="s">
        <v>227</v>
      </c>
      <c r="G446" s="648"/>
      <c r="H446" s="648"/>
      <c r="I446" s="648"/>
      <c r="J446" s="648"/>
      <c r="K446" s="648"/>
      <c r="L446" s="648"/>
      <c r="M446" s="648"/>
      <c r="N446" s="648"/>
      <c r="O446" s="648"/>
      <c r="P446" s="648"/>
      <c r="Q446" s="648"/>
      <c r="R446" s="648"/>
      <c r="S446" s="648"/>
      <c r="T446" s="648"/>
      <c r="U446" s="648"/>
      <c r="V446" s="648"/>
      <c r="W446" s="648"/>
      <c r="X446" s="648"/>
      <c r="Y446" s="648"/>
      <c r="Z446" s="648"/>
      <c r="AA446" s="648"/>
      <c r="AB446" s="648"/>
      <c r="AC446" s="118"/>
      <c r="AD446" s="121"/>
      <c r="AE446" s="121"/>
      <c r="AF446" s="121"/>
      <c r="AG446" s="593"/>
      <c r="AH446" s="593"/>
      <c r="AI446" s="593"/>
      <c r="AJ446" s="593"/>
      <c r="AK446" s="593"/>
      <c r="AL446" s="121"/>
      <c r="AM446" s="222"/>
    </row>
    <row r="447" spans="1:41" s="231" customFormat="1">
      <c r="A447" s="1"/>
      <c r="B447" s="44"/>
      <c r="C447" s="45"/>
      <c r="D447" s="1"/>
      <c r="E447" s="121"/>
      <c r="F447" s="642" t="s">
        <v>137</v>
      </c>
      <c r="G447" s="642"/>
      <c r="H447" s="642"/>
      <c r="I447" s="642"/>
      <c r="J447" s="642"/>
      <c r="K447" s="642"/>
      <c r="L447" s="642"/>
      <c r="M447" s="642"/>
      <c r="N447" s="642"/>
      <c r="O447" s="642"/>
      <c r="P447" s="642"/>
      <c r="Q447" s="642"/>
      <c r="R447" s="642"/>
      <c r="S447" s="642"/>
      <c r="T447" s="642"/>
      <c r="U447" s="642"/>
      <c r="V447" s="642"/>
      <c r="W447" s="642"/>
      <c r="X447" s="642"/>
      <c r="Y447" s="642"/>
      <c r="Z447" s="642"/>
      <c r="AA447" s="642"/>
      <c r="AB447" s="642"/>
      <c r="AC447" s="587"/>
      <c r="AD447" s="587"/>
      <c r="AE447" s="587"/>
      <c r="AF447" s="121"/>
      <c r="AG447" s="593">
        <v>959</v>
      </c>
      <c r="AH447" s="593"/>
      <c r="AI447" s="593"/>
      <c r="AJ447" s="593"/>
      <c r="AK447" s="593"/>
      <c r="AL447" s="121"/>
      <c r="AM447" s="222"/>
    </row>
    <row r="448" spans="1:41" s="231" customFormat="1">
      <c r="A448" s="1"/>
      <c r="B448" s="44"/>
      <c r="C448" s="45"/>
      <c r="D448" s="1"/>
      <c r="E448" s="121"/>
      <c r="F448" s="642" t="s">
        <v>138</v>
      </c>
      <c r="G448" s="642"/>
      <c r="H448" s="642"/>
      <c r="I448" s="642"/>
      <c r="J448" s="642"/>
      <c r="K448" s="642"/>
      <c r="L448" s="642"/>
      <c r="M448" s="642"/>
      <c r="N448" s="642"/>
      <c r="O448" s="642"/>
      <c r="P448" s="642"/>
      <c r="Q448" s="642"/>
      <c r="R448" s="642"/>
      <c r="S448" s="642"/>
      <c r="T448" s="642"/>
      <c r="U448" s="642"/>
      <c r="V448" s="642"/>
      <c r="W448" s="642"/>
      <c r="X448" s="642"/>
      <c r="Y448" s="642"/>
      <c r="Z448" s="642"/>
      <c r="AA448" s="642"/>
      <c r="AB448" s="642"/>
      <c r="AC448" s="587"/>
      <c r="AD448" s="587"/>
      <c r="AE448" s="587"/>
      <c r="AF448" s="121"/>
      <c r="AG448" s="566"/>
      <c r="AH448" s="566"/>
      <c r="AI448" s="566"/>
      <c r="AJ448" s="566"/>
      <c r="AK448" s="566"/>
      <c r="AL448" s="121"/>
      <c r="AM448" s="222"/>
    </row>
    <row r="449" spans="1:41" s="231" customFormat="1">
      <c r="A449" s="1"/>
      <c r="B449" s="44"/>
      <c r="C449" s="45"/>
      <c r="D449" s="1"/>
      <c r="E449" s="121"/>
      <c r="F449" s="656" t="s">
        <v>139</v>
      </c>
      <c r="G449" s="656"/>
      <c r="H449" s="656"/>
      <c r="I449" s="656"/>
      <c r="J449" s="656"/>
      <c r="K449" s="656"/>
      <c r="L449" s="656"/>
      <c r="M449" s="656"/>
      <c r="N449" s="656"/>
      <c r="O449" s="656"/>
      <c r="P449" s="656"/>
      <c r="Q449" s="656"/>
      <c r="R449" s="656"/>
      <c r="S449" s="656"/>
      <c r="T449" s="656"/>
      <c r="U449" s="656"/>
      <c r="V449" s="656"/>
      <c r="W449" s="656"/>
      <c r="X449" s="656"/>
      <c r="Y449" s="656"/>
      <c r="Z449" s="656"/>
      <c r="AA449" s="656"/>
      <c r="AB449" s="656"/>
      <c r="AC449" s="121"/>
      <c r="AD449" s="121"/>
      <c r="AE449" s="121"/>
      <c r="AF449" s="121"/>
      <c r="AG449" s="598">
        <f>AG447</f>
        <v>959</v>
      </c>
      <c r="AH449" s="598"/>
      <c r="AI449" s="598"/>
      <c r="AJ449" s="598"/>
      <c r="AK449" s="598"/>
      <c r="AL449" s="121"/>
      <c r="AM449" s="240"/>
      <c r="AN449" s="266"/>
      <c r="AO449" s="266"/>
    </row>
    <row r="450" spans="1:41" s="231" customFormat="1" ht="7.5" customHeight="1">
      <c r="A450" s="1"/>
      <c r="B450" s="44"/>
      <c r="C450" s="45"/>
      <c r="D450" s="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1"/>
      <c r="AL450" s="121"/>
      <c r="AM450" s="112"/>
    </row>
    <row r="451" spans="1:41" s="231" customFormat="1">
      <c r="A451" s="1"/>
      <c r="B451" s="44"/>
      <c r="C451" s="45"/>
      <c r="D451" s="1"/>
      <c r="E451" s="121"/>
      <c r="F451" s="642"/>
      <c r="G451" s="642"/>
      <c r="H451" s="642"/>
      <c r="I451" s="642"/>
      <c r="J451" s="642"/>
      <c r="K451" s="642"/>
      <c r="L451" s="642"/>
      <c r="M451" s="642"/>
      <c r="N451" s="642"/>
      <c r="O451" s="642"/>
      <c r="P451" s="642"/>
      <c r="Q451" s="642"/>
      <c r="R451" s="642"/>
      <c r="S451" s="642"/>
      <c r="T451" s="642"/>
      <c r="U451" s="642"/>
      <c r="V451" s="642"/>
      <c r="W451" s="642"/>
      <c r="X451" s="642"/>
      <c r="Y451" s="642"/>
      <c r="Z451" s="642"/>
      <c r="AA451" s="642"/>
      <c r="AB451" s="642"/>
      <c r="AC451" s="121"/>
      <c r="AD451" s="121"/>
      <c r="AE451" s="121"/>
      <c r="AF451" s="121"/>
      <c r="AG451" s="566"/>
      <c r="AH451" s="566"/>
      <c r="AI451" s="566"/>
      <c r="AJ451" s="566"/>
      <c r="AK451" s="566"/>
      <c r="AL451" s="121"/>
      <c r="AM451" s="222"/>
      <c r="AN451" s="266"/>
      <c r="AO451" s="266"/>
    </row>
    <row r="452" spans="1:41" s="231" customFormat="1" ht="7.5" customHeight="1">
      <c r="A452" s="1"/>
      <c r="B452" s="44"/>
      <c r="C452" s="45"/>
      <c r="D452" s="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1"/>
      <c r="AL452" s="121"/>
      <c r="AM452" s="112"/>
    </row>
    <row r="453" spans="1:41" s="231" customFormat="1">
      <c r="A453" s="1"/>
      <c r="B453" s="44"/>
      <c r="C453" s="45"/>
      <c r="D453" s="1"/>
      <c r="E453" s="121"/>
      <c r="F453" s="643" t="s">
        <v>140</v>
      </c>
      <c r="G453" s="643"/>
      <c r="H453" s="643"/>
      <c r="I453" s="643"/>
      <c r="J453" s="643"/>
      <c r="K453" s="643"/>
      <c r="L453" s="643"/>
      <c r="M453" s="643"/>
      <c r="N453" s="643"/>
      <c r="O453" s="643"/>
      <c r="P453" s="643"/>
      <c r="Q453" s="643"/>
      <c r="R453" s="643"/>
      <c r="S453" s="643"/>
      <c r="T453" s="643"/>
      <c r="U453" s="643"/>
      <c r="V453" s="643"/>
      <c r="W453" s="643"/>
      <c r="X453" s="643"/>
      <c r="Y453" s="643"/>
      <c r="Z453" s="643"/>
      <c r="AA453" s="643"/>
      <c r="AB453" s="643"/>
      <c r="AC453" s="643"/>
      <c r="AD453" s="643"/>
      <c r="AE453" s="121"/>
      <c r="AF453" s="121"/>
      <c r="AG453" s="598">
        <f>AG418+AG437+AG447</f>
        <v>32.975549999999089</v>
      </c>
      <c r="AH453" s="598"/>
      <c r="AI453" s="598"/>
      <c r="AJ453" s="598"/>
      <c r="AK453" s="598"/>
      <c r="AL453" s="121"/>
      <c r="AM453" s="240"/>
    </row>
    <row r="454" spans="1:41" s="231" customFormat="1" ht="7.5" customHeight="1">
      <c r="A454" s="1"/>
      <c r="B454" s="44"/>
      <c r="C454" s="45"/>
      <c r="D454" s="1"/>
      <c r="E454" s="121"/>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21"/>
      <c r="AD454" s="121"/>
      <c r="AE454" s="121"/>
      <c r="AF454" s="121"/>
      <c r="AG454" s="262"/>
      <c r="AH454" s="262"/>
      <c r="AI454" s="262"/>
      <c r="AJ454" s="262"/>
      <c r="AK454" s="262"/>
      <c r="AL454" s="121"/>
      <c r="AM454" s="237"/>
    </row>
    <row r="455" spans="1:41" s="231" customFormat="1">
      <c r="A455" s="1"/>
      <c r="B455" s="44"/>
      <c r="C455" s="45"/>
      <c r="D455" s="1"/>
      <c r="E455" s="121"/>
      <c r="F455" s="633" t="s">
        <v>141</v>
      </c>
      <c r="G455" s="633"/>
      <c r="H455" s="633"/>
      <c r="I455" s="633"/>
      <c r="J455" s="633"/>
      <c r="K455" s="633"/>
      <c r="L455" s="633"/>
      <c r="M455" s="633"/>
      <c r="N455" s="633"/>
      <c r="O455" s="633"/>
      <c r="P455" s="633"/>
      <c r="Q455" s="633"/>
      <c r="R455" s="633"/>
      <c r="S455" s="633"/>
      <c r="T455" s="633"/>
      <c r="U455" s="633"/>
      <c r="V455" s="633"/>
      <c r="W455" s="633"/>
      <c r="X455" s="633"/>
      <c r="Y455" s="633"/>
      <c r="Z455" s="633"/>
      <c r="AA455" s="633"/>
      <c r="AB455" s="633"/>
      <c r="AC455" s="121"/>
      <c r="AD455" s="121"/>
      <c r="AE455" s="121"/>
      <c r="AF455" s="121"/>
      <c r="AG455" s="598">
        <f>AG223</f>
        <v>137</v>
      </c>
      <c r="AH455" s="598"/>
      <c r="AI455" s="598"/>
      <c r="AJ455" s="598"/>
      <c r="AK455" s="598"/>
      <c r="AL455" s="118"/>
      <c r="AM455" s="240"/>
    </row>
    <row r="456" spans="1:41" s="231" customFormat="1" ht="7.5" customHeight="1">
      <c r="A456" s="1"/>
      <c r="B456" s="44"/>
      <c r="C456" s="45"/>
      <c r="D456" s="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593"/>
      <c r="AH456" s="593"/>
      <c r="AI456" s="593"/>
      <c r="AJ456" s="593"/>
      <c r="AK456" s="593"/>
      <c r="AL456" s="121"/>
      <c r="AM456" s="222"/>
    </row>
    <row r="457" spans="1:41" s="231" customFormat="1" ht="13.5" thickBot="1">
      <c r="A457" s="1"/>
      <c r="B457" s="44"/>
      <c r="C457" s="45"/>
      <c r="D457" s="1"/>
      <c r="E457" s="121"/>
      <c r="F457" s="633" t="s">
        <v>142</v>
      </c>
      <c r="G457" s="633"/>
      <c r="H457" s="633"/>
      <c r="I457" s="633"/>
      <c r="J457" s="633"/>
      <c r="K457" s="633"/>
      <c r="L457" s="633"/>
      <c r="M457" s="633"/>
      <c r="N457" s="633"/>
      <c r="O457" s="633"/>
      <c r="P457" s="633"/>
      <c r="Q457" s="633"/>
      <c r="R457" s="633"/>
      <c r="S457" s="633"/>
      <c r="T457" s="633"/>
      <c r="U457" s="633"/>
      <c r="V457" s="633"/>
      <c r="W457" s="633"/>
      <c r="X457" s="633"/>
      <c r="Y457" s="633"/>
      <c r="Z457" s="633"/>
      <c r="AA457" s="633"/>
      <c r="AB457" s="633"/>
      <c r="AC457" s="121"/>
      <c r="AD457" s="121"/>
      <c r="AE457" s="121"/>
      <c r="AF457" s="121"/>
      <c r="AG457" s="623">
        <f>AA223</f>
        <v>170.14367999999999</v>
      </c>
      <c r="AH457" s="623"/>
      <c r="AI457" s="623"/>
      <c r="AJ457" s="623"/>
      <c r="AK457" s="623"/>
      <c r="AL457" s="118"/>
      <c r="AM457" s="240"/>
    </row>
    <row r="458" spans="1:41" s="231" customFormat="1" ht="13.5" thickTop="1">
      <c r="A458" s="16"/>
      <c r="B458" s="50"/>
      <c r="C458" s="51"/>
      <c r="D458" s="1"/>
      <c r="E458" s="121"/>
      <c r="F458" s="649"/>
      <c r="G458" s="649"/>
      <c r="H458" s="649"/>
      <c r="I458" s="649"/>
      <c r="J458" s="649"/>
      <c r="K458" s="649"/>
      <c r="L458" s="649"/>
      <c r="M458" s="649"/>
      <c r="N458" s="649"/>
      <c r="O458" s="649"/>
      <c r="P458" s="649"/>
      <c r="Q458" s="649"/>
      <c r="R458" s="649"/>
      <c r="S458" s="649"/>
      <c r="T458" s="649"/>
      <c r="U458" s="649"/>
      <c r="V458" s="649"/>
      <c r="W458" s="649"/>
      <c r="X458" s="649"/>
      <c r="Y458" s="649"/>
      <c r="Z458" s="649"/>
      <c r="AA458" s="649"/>
      <c r="AB458" s="649"/>
      <c r="AC458" s="121"/>
      <c r="AD458" s="121"/>
      <c r="AE458" s="121"/>
      <c r="AF458" s="121"/>
      <c r="AG458" s="593"/>
      <c r="AH458" s="593"/>
      <c r="AI458" s="593"/>
      <c r="AJ458" s="593"/>
      <c r="AK458" s="593"/>
      <c r="AL458" s="121"/>
      <c r="AM458" s="222"/>
    </row>
    <row r="459" spans="1:41" s="231" customFormat="1">
      <c r="A459" s="16"/>
      <c r="B459" s="50"/>
      <c r="C459" s="51"/>
      <c r="D459" s="1"/>
      <c r="E459" s="121"/>
      <c r="F459" s="347"/>
      <c r="G459" s="347"/>
      <c r="H459" s="347"/>
      <c r="I459" s="347"/>
      <c r="J459" s="347"/>
      <c r="K459" s="347"/>
      <c r="L459" s="347"/>
      <c r="M459" s="347"/>
      <c r="N459" s="347"/>
      <c r="O459" s="347"/>
      <c r="P459" s="347"/>
      <c r="Q459" s="347"/>
      <c r="R459" s="347"/>
      <c r="S459" s="347"/>
      <c r="T459" s="347"/>
      <c r="U459" s="347"/>
      <c r="V459" s="347"/>
      <c r="W459" s="347"/>
      <c r="X459" s="347"/>
      <c r="Y459" s="347"/>
      <c r="Z459" s="347"/>
      <c r="AA459" s="347"/>
      <c r="AB459" s="347"/>
      <c r="AC459" s="121"/>
      <c r="AD459" s="121"/>
      <c r="AE459" s="121"/>
      <c r="AF459" s="121"/>
      <c r="AG459" s="232"/>
      <c r="AH459" s="232"/>
      <c r="AI459" s="232"/>
      <c r="AJ459" s="232"/>
      <c r="AK459" s="232"/>
      <c r="AL459" s="121"/>
      <c r="AM459" s="237"/>
    </row>
    <row r="460" spans="1:41" s="231" customFormat="1">
      <c r="A460" s="16"/>
      <c r="B460" s="50"/>
      <c r="C460" s="51"/>
      <c r="D460" s="1"/>
      <c r="E460" s="121"/>
      <c r="F460" s="347"/>
      <c r="G460" s="347"/>
      <c r="H460" s="347"/>
      <c r="I460" s="347"/>
      <c r="J460" s="347"/>
      <c r="K460" s="347"/>
      <c r="L460" s="347"/>
      <c r="M460" s="347"/>
      <c r="N460" s="347"/>
      <c r="O460" s="347"/>
      <c r="P460" s="347"/>
      <c r="Q460" s="347"/>
      <c r="R460" s="347"/>
      <c r="S460" s="347"/>
      <c r="T460" s="347"/>
      <c r="U460" s="347"/>
      <c r="V460" s="347"/>
      <c r="W460" s="347"/>
      <c r="X460" s="347"/>
      <c r="Y460" s="347"/>
      <c r="Z460" s="347"/>
      <c r="AA460" s="347"/>
      <c r="AB460" s="347"/>
      <c r="AC460" s="121"/>
      <c r="AD460" s="121"/>
      <c r="AE460" s="121"/>
      <c r="AF460" s="121"/>
      <c r="AG460" s="232"/>
      <c r="AH460" s="232"/>
      <c r="AI460" s="232"/>
      <c r="AJ460" s="232"/>
      <c r="AK460" s="232"/>
      <c r="AL460" s="121"/>
      <c r="AM460" s="237"/>
    </row>
    <row r="461" spans="1:41" s="231" customFormat="1">
      <c r="A461" s="16"/>
      <c r="B461" s="50"/>
      <c r="C461" s="51"/>
      <c r="D461" s="1"/>
      <c r="E461" s="121"/>
      <c r="F461" s="347"/>
      <c r="G461" s="347"/>
      <c r="H461" s="347"/>
      <c r="I461" s="347"/>
      <c r="J461" s="347"/>
      <c r="K461" s="347"/>
      <c r="L461" s="347"/>
      <c r="M461" s="347"/>
      <c r="N461" s="347"/>
      <c r="O461" s="347"/>
      <c r="P461" s="347"/>
      <c r="Q461" s="347"/>
      <c r="R461" s="347"/>
      <c r="S461" s="347"/>
      <c r="T461" s="347"/>
      <c r="U461" s="347"/>
      <c r="V461" s="347"/>
      <c r="W461" s="347"/>
      <c r="X461" s="347"/>
      <c r="Y461" s="347"/>
      <c r="Z461" s="347"/>
      <c r="AA461" s="347"/>
      <c r="AB461" s="347"/>
      <c r="AC461" s="121"/>
      <c r="AD461" s="121"/>
      <c r="AE461" s="121"/>
      <c r="AF461" s="121"/>
      <c r="AG461" s="232"/>
      <c r="AH461" s="232"/>
      <c r="AI461" s="232"/>
      <c r="AJ461" s="232"/>
      <c r="AK461" s="232"/>
      <c r="AL461" s="121"/>
      <c r="AM461" s="237"/>
    </row>
    <row r="462" spans="1:41" s="231" customFormat="1">
      <c r="A462" s="16"/>
      <c r="B462" s="50"/>
      <c r="C462" s="51"/>
      <c r="D462" s="1"/>
      <c r="E462" s="121"/>
      <c r="F462" s="347"/>
      <c r="G462" s="347"/>
      <c r="H462" s="347"/>
      <c r="I462" s="347"/>
      <c r="J462" s="347"/>
      <c r="K462" s="347"/>
      <c r="L462" s="347"/>
      <c r="M462" s="347"/>
      <c r="N462" s="347"/>
      <c r="O462" s="347"/>
      <c r="P462" s="347"/>
      <c r="Q462" s="347"/>
      <c r="R462" s="347"/>
      <c r="S462" s="347"/>
      <c r="T462" s="347"/>
      <c r="U462" s="347"/>
      <c r="V462" s="347"/>
      <c r="W462" s="347"/>
      <c r="X462" s="347"/>
      <c r="Y462" s="347"/>
      <c r="Z462" s="347"/>
      <c r="AA462" s="347"/>
      <c r="AB462" s="347"/>
      <c r="AC462" s="121"/>
      <c r="AD462" s="121"/>
      <c r="AE462" s="121"/>
      <c r="AF462" s="121"/>
      <c r="AG462" s="232"/>
      <c r="AH462" s="232"/>
      <c r="AI462" s="232"/>
      <c r="AJ462" s="232"/>
      <c r="AK462" s="232"/>
      <c r="AL462" s="121"/>
      <c r="AM462" s="237"/>
    </row>
    <row r="463" spans="1:41" s="231" customFormat="1">
      <c r="A463" s="16"/>
      <c r="B463" s="50"/>
      <c r="C463" s="51"/>
      <c r="D463" s="1"/>
      <c r="E463" s="121"/>
      <c r="F463" s="347"/>
      <c r="G463" s="347"/>
      <c r="H463" s="347"/>
      <c r="I463" s="347"/>
      <c r="J463" s="347"/>
      <c r="K463" s="347"/>
      <c r="L463" s="347"/>
      <c r="M463" s="347"/>
      <c r="N463" s="347"/>
      <c r="O463" s="347"/>
      <c r="P463" s="347"/>
      <c r="Q463" s="347"/>
      <c r="R463" s="347"/>
      <c r="S463" s="347"/>
      <c r="T463" s="347"/>
      <c r="U463" s="347"/>
      <c r="V463" s="347"/>
      <c r="W463" s="347"/>
      <c r="X463" s="347"/>
      <c r="Y463" s="347"/>
      <c r="Z463" s="347"/>
      <c r="AA463" s="347"/>
      <c r="AB463" s="347"/>
      <c r="AC463" s="121"/>
      <c r="AD463" s="121"/>
      <c r="AE463" s="121"/>
      <c r="AF463" s="121"/>
      <c r="AG463" s="232"/>
      <c r="AH463" s="232"/>
      <c r="AI463" s="232"/>
      <c r="AJ463" s="232"/>
      <c r="AK463" s="232"/>
      <c r="AL463" s="121"/>
      <c r="AM463" s="237"/>
    </row>
    <row r="464" spans="1:41" s="231" customFormat="1">
      <c r="A464" s="16"/>
      <c r="B464" s="50"/>
      <c r="C464" s="51"/>
      <c r="D464" s="1"/>
      <c r="E464" s="121"/>
      <c r="F464" s="347"/>
      <c r="G464" s="347"/>
      <c r="H464" s="347"/>
      <c r="I464" s="347"/>
      <c r="J464" s="347"/>
      <c r="K464" s="347"/>
      <c r="L464" s="347"/>
      <c r="M464" s="347"/>
      <c r="N464" s="347"/>
      <c r="O464" s="347"/>
      <c r="P464" s="347"/>
      <c r="Q464" s="347"/>
      <c r="R464" s="347"/>
      <c r="S464" s="347"/>
      <c r="T464" s="347"/>
      <c r="U464" s="347"/>
      <c r="V464" s="347"/>
      <c r="W464" s="347"/>
      <c r="X464" s="347"/>
      <c r="Y464" s="347"/>
      <c r="Z464" s="347"/>
      <c r="AA464" s="347"/>
      <c r="AB464" s="347"/>
      <c r="AC464" s="121"/>
      <c r="AD464" s="121"/>
      <c r="AE464" s="121"/>
      <c r="AF464" s="121"/>
      <c r="AG464" s="232"/>
      <c r="AH464" s="232"/>
      <c r="AI464" s="232"/>
      <c r="AJ464" s="232"/>
      <c r="AK464" s="232"/>
      <c r="AL464" s="121"/>
      <c r="AM464" s="237"/>
    </row>
    <row r="465" spans="1:39" s="231" customFormat="1">
      <c r="A465" s="16"/>
      <c r="B465" s="50"/>
      <c r="C465" s="51"/>
      <c r="D465" s="1"/>
      <c r="E465" s="121"/>
      <c r="F465" s="347"/>
      <c r="G465" s="347"/>
      <c r="H465" s="347"/>
      <c r="I465" s="347"/>
      <c r="J465" s="347"/>
      <c r="K465" s="347"/>
      <c r="L465" s="347"/>
      <c r="M465" s="347"/>
      <c r="N465" s="347"/>
      <c r="O465" s="347"/>
      <c r="P465" s="347"/>
      <c r="Q465" s="347"/>
      <c r="R465" s="347"/>
      <c r="S465" s="347"/>
      <c r="T465" s="347"/>
      <c r="U465" s="347"/>
      <c r="V465" s="347"/>
      <c r="W465" s="347"/>
      <c r="X465" s="347"/>
      <c r="Y465" s="347"/>
      <c r="Z465" s="347"/>
      <c r="AA465" s="347"/>
      <c r="AB465" s="347"/>
      <c r="AC465" s="121"/>
      <c r="AD465" s="121"/>
      <c r="AE465" s="121"/>
      <c r="AF465" s="121"/>
      <c r="AG465" s="232"/>
      <c r="AH465" s="232"/>
      <c r="AI465" s="232"/>
      <c r="AJ465" s="232"/>
      <c r="AK465" s="232"/>
      <c r="AL465" s="121"/>
      <c r="AM465" s="237"/>
    </row>
    <row r="466" spans="1:39" s="231" customFormat="1">
      <c r="A466" s="16"/>
      <c r="B466" s="50"/>
      <c r="C466" s="51"/>
      <c r="D466" s="1"/>
      <c r="E466" s="121"/>
      <c r="F466" s="347"/>
      <c r="G466" s="347"/>
      <c r="H466" s="347"/>
      <c r="I466" s="347"/>
      <c r="J466" s="347"/>
      <c r="K466" s="347"/>
      <c r="L466" s="347"/>
      <c r="M466" s="347"/>
      <c r="N466" s="347"/>
      <c r="O466" s="347"/>
      <c r="P466" s="347"/>
      <c r="Q466" s="347"/>
      <c r="R466" s="347"/>
      <c r="S466" s="347"/>
      <c r="T466" s="347"/>
      <c r="U466" s="347"/>
      <c r="V466" s="347"/>
      <c r="W466" s="347"/>
      <c r="X466" s="347"/>
      <c r="Y466" s="347"/>
      <c r="Z466" s="347"/>
      <c r="AA466" s="347"/>
      <c r="AB466" s="347"/>
      <c r="AC466" s="121"/>
      <c r="AD466" s="121"/>
      <c r="AE466" s="121"/>
      <c r="AF466" s="121"/>
      <c r="AG466" s="232"/>
      <c r="AH466" s="232"/>
      <c r="AI466" s="232"/>
      <c r="AJ466" s="232"/>
      <c r="AK466" s="232"/>
      <c r="AL466" s="121"/>
      <c r="AM466" s="237"/>
    </row>
    <row r="467" spans="1:39" s="231" customFormat="1">
      <c r="A467" s="1"/>
      <c r="B467" s="1"/>
      <c r="C467" s="2"/>
      <c r="D467" s="1"/>
      <c r="E467" s="7"/>
      <c r="F467" s="568" t="s">
        <v>39</v>
      </c>
      <c r="G467" s="568"/>
      <c r="H467" s="568"/>
      <c r="I467" s="568"/>
      <c r="J467" s="568"/>
      <c r="K467" s="568"/>
      <c r="L467" s="568"/>
      <c r="M467" s="568"/>
      <c r="N467" s="568"/>
      <c r="O467" s="568"/>
      <c r="P467" s="568"/>
      <c r="Q467" s="568"/>
      <c r="R467" s="568"/>
      <c r="S467" s="568"/>
      <c r="T467" s="568"/>
      <c r="U467" s="568"/>
      <c r="V467" s="568"/>
      <c r="W467" s="568"/>
      <c r="X467" s="7"/>
      <c r="Y467" s="7"/>
      <c r="Z467" s="7"/>
      <c r="AA467" s="7"/>
      <c r="AB467" s="7"/>
      <c r="AC467" s="7"/>
      <c r="AD467" s="7"/>
      <c r="AE467" s="7"/>
      <c r="AF467" s="7"/>
      <c r="AG467" s="7"/>
      <c r="AH467" s="7"/>
      <c r="AI467" s="7"/>
      <c r="AJ467" s="7"/>
      <c r="AK467" s="7"/>
      <c r="AL467" s="7"/>
      <c r="AM467" s="348"/>
    </row>
    <row r="468" spans="1:39" s="231" customFormat="1">
      <c r="A468" s="1"/>
      <c r="B468" s="1"/>
      <c r="C468" s="2"/>
      <c r="D468" s="1"/>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348"/>
    </row>
    <row r="469" spans="1:39" s="231" customFormat="1">
      <c r="A469" s="1"/>
      <c r="B469" s="1"/>
      <c r="C469" s="2"/>
      <c r="D469" s="1"/>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348"/>
    </row>
    <row r="470" spans="1:39" s="231" customFormat="1">
      <c r="A470" s="1"/>
      <c r="B470" s="1"/>
      <c r="C470" s="2"/>
      <c r="D470" s="1"/>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348"/>
    </row>
    <row r="471" spans="1:39" s="231" customFormat="1">
      <c r="A471" s="1"/>
      <c r="B471" s="1"/>
      <c r="C471" s="2"/>
      <c r="D471" s="1"/>
      <c r="E471" s="7"/>
      <c r="F471" s="592" t="str">
        <f>F334</f>
        <v>Директор  Л.В. Коровьонкова</v>
      </c>
      <c r="G471" s="592"/>
      <c r="H471" s="592"/>
      <c r="I471" s="592"/>
      <c r="J471" s="592"/>
      <c r="K471" s="592"/>
      <c r="L471" s="592"/>
      <c r="M471" s="592"/>
      <c r="N471" s="592"/>
      <c r="O471" s="592"/>
      <c r="P471" s="592"/>
      <c r="Q471" s="592"/>
      <c r="Z471" s="592" t="str">
        <f>Z404</f>
        <v>Головний бухгалтер   О.В. Хижняк</v>
      </c>
      <c r="AA471" s="592"/>
      <c r="AB471" s="592"/>
      <c r="AC471" s="592"/>
      <c r="AD471" s="592"/>
      <c r="AE471" s="592"/>
      <c r="AF471" s="592"/>
      <c r="AG471" s="592"/>
      <c r="AH471" s="592"/>
      <c r="AI471" s="592"/>
      <c r="AJ471" s="592"/>
      <c r="AK471" s="592"/>
      <c r="AL471" s="7"/>
      <c r="AM471" s="348"/>
    </row>
    <row r="472" spans="1:39" s="231" customFormat="1">
      <c r="A472" s="1"/>
      <c r="B472" s="1"/>
      <c r="C472" s="2"/>
      <c r="D472" s="1"/>
      <c r="E472" s="7"/>
      <c r="F472" s="588"/>
      <c r="G472" s="588"/>
      <c r="H472" s="588"/>
      <c r="I472" s="588"/>
      <c r="J472" s="588"/>
      <c r="K472" s="588"/>
      <c r="L472" s="588"/>
      <c r="M472" s="588"/>
      <c r="N472" s="588"/>
      <c r="O472" s="588"/>
      <c r="P472" s="588"/>
      <c r="Q472" s="588"/>
      <c r="Z472" s="587"/>
      <c r="AA472" s="587"/>
      <c r="AB472" s="587"/>
      <c r="AC472" s="587"/>
      <c r="AD472" s="587"/>
      <c r="AE472" s="587"/>
      <c r="AF472" s="587"/>
      <c r="AG472" s="587"/>
      <c r="AH472" s="587"/>
      <c r="AI472" s="587"/>
      <c r="AJ472" s="587"/>
      <c r="AK472" s="587"/>
      <c r="AL472" s="7"/>
      <c r="AM472" s="348"/>
    </row>
    <row r="473" spans="1:39" s="231" customFormat="1">
      <c r="A473" s="1"/>
      <c r="B473" s="1"/>
      <c r="C473" s="2"/>
      <c r="D473" s="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1"/>
      <c r="AL473" s="121"/>
      <c r="AM473" s="112"/>
    </row>
    <row r="474" spans="1:39" s="231" customFormat="1" ht="12.75" customHeight="1">
      <c r="A474" s="1"/>
      <c r="B474" s="1"/>
      <c r="C474" s="2"/>
      <c r="D474" s="1"/>
      <c r="F474" s="619" t="s">
        <v>1464</v>
      </c>
      <c r="G474" s="619"/>
      <c r="H474" s="619"/>
      <c r="I474" s="619"/>
      <c r="J474" s="619"/>
      <c r="K474" s="619"/>
      <c r="L474" s="619"/>
      <c r="M474" s="619"/>
      <c r="N474" s="619"/>
      <c r="O474" s="619"/>
      <c r="P474" s="619"/>
      <c r="Q474" s="619"/>
      <c r="R474" s="619"/>
      <c r="S474" s="619"/>
      <c r="T474" s="619"/>
      <c r="U474" s="619"/>
      <c r="V474" s="619"/>
      <c r="W474" s="619"/>
      <c r="X474" s="619"/>
      <c r="Y474" s="619"/>
      <c r="Z474" s="619"/>
      <c r="AA474" s="619"/>
      <c r="AB474" s="619"/>
      <c r="AC474" s="619"/>
      <c r="AD474" s="619"/>
      <c r="AE474" s="619"/>
      <c r="AF474" s="619"/>
      <c r="AG474" s="619"/>
      <c r="AH474" s="619"/>
      <c r="AI474" s="619"/>
      <c r="AJ474" s="619"/>
      <c r="AK474" s="619"/>
      <c r="AL474" s="619"/>
      <c r="AM474" s="619"/>
    </row>
    <row r="475" spans="1:39" s="361" customFormat="1" ht="12.75" customHeight="1">
      <c r="A475" s="1"/>
      <c r="B475" s="1"/>
      <c r="C475" s="2"/>
      <c r="D475" s="1"/>
      <c r="F475" s="364"/>
      <c r="G475" s="364"/>
      <c r="H475" s="364"/>
      <c r="I475" s="364"/>
      <c r="J475" s="364"/>
      <c r="K475" s="364"/>
      <c r="L475" s="364"/>
      <c r="M475" s="364"/>
      <c r="N475" s="364"/>
      <c r="O475" s="364"/>
      <c r="P475" s="364"/>
      <c r="Q475" s="364"/>
      <c r="R475" s="364"/>
      <c r="S475" s="364"/>
      <c r="T475" s="364"/>
      <c r="U475" s="364"/>
      <c r="V475" s="364"/>
      <c r="W475" s="364"/>
      <c r="X475" s="364"/>
      <c r="Y475" s="364"/>
      <c r="Z475" s="364"/>
      <c r="AA475" s="364"/>
      <c r="AB475" s="364"/>
      <c r="AC475" s="364"/>
      <c r="AD475" s="364"/>
      <c r="AE475" s="364"/>
      <c r="AF475" s="364"/>
      <c r="AG475" s="364"/>
      <c r="AH475" s="364"/>
      <c r="AI475" s="364"/>
      <c r="AJ475" s="364"/>
      <c r="AK475" s="364"/>
      <c r="AL475" s="364"/>
      <c r="AM475" s="364"/>
    </row>
    <row r="476" spans="1:39" s="382" customFormat="1" ht="12.75" customHeight="1">
      <c r="A476" s="1"/>
      <c r="B476" s="1"/>
      <c r="C476" s="2"/>
      <c r="D476" s="1"/>
      <c r="F476" s="386"/>
      <c r="G476" s="386"/>
      <c r="H476" s="386"/>
      <c r="I476" s="386"/>
      <c r="J476" s="386"/>
      <c r="K476" s="386"/>
      <c r="L476" s="386"/>
      <c r="M476" s="386"/>
      <c r="N476" s="386"/>
      <c r="O476" s="386"/>
      <c r="P476" s="386"/>
      <c r="Q476" s="386"/>
      <c r="R476" s="386"/>
      <c r="S476" s="386"/>
      <c r="T476" s="386"/>
      <c r="U476" s="386"/>
      <c r="V476" s="386"/>
      <c r="W476" s="386"/>
      <c r="X476" s="386"/>
      <c r="Y476" s="386"/>
      <c r="Z476" s="386"/>
      <c r="AA476" s="386"/>
      <c r="AB476" s="386"/>
      <c r="AC476" s="386"/>
      <c r="AD476" s="386"/>
      <c r="AE476" s="386"/>
      <c r="AF476" s="386"/>
      <c r="AG476" s="386"/>
      <c r="AH476" s="386"/>
      <c r="AI476" s="386"/>
      <c r="AJ476" s="386"/>
      <c r="AK476" s="386"/>
      <c r="AL476" s="386"/>
      <c r="AM476" s="386"/>
    </row>
    <row r="477" spans="1:39" s="361" customFormat="1" ht="12.75" customHeight="1">
      <c r="A477" s="1"/>
      <c r="B477" s="1"/>
      <c r="C477" s="2"/>
      <c r="D477" s="1"/>
      <c r="F477" s="364"/>
      <c r="G477" s="364"/>
      <c r="H477" s="364"/>
      <c r="I477" s="364"/>
      <c r="J477" s="364"/>
      <c r="K477" s="364"/>
      <c r="L477" s="364"/>
      <c r="M477" s="364"/>
      <c r="N477" s="364"/>
      <c r="O477" s="364"/>
      <c r="P477" s="364"/>
      <c r="Q477" s="364"/>
      <c r="R477" s="364"/>
      <c r="S477" s="364"/>
      <c r="T477" s="364"/>
      <c r="U477" s="364"/>
      <c r="V477" s="364"/>
      <c r="W477" s="364"/>
      <c r="X477" s="364"/>
      <c r="Y477" s="364"/>
      <c r="Z477" s="364"/>
      <c r="AA477" s="364"/>
      <c r="AB477" s="364"/>
      <c r="AC477" s="364"/>
      <c r="AD477" s="364"/>
      <c r="AE477" s="364"/>
      <c r="AF477" s="364"/>
      <c r="AG477" s="364"/>
      <c r="AH477" s="364"/>
      <c r="AI477" s="364"/>
      <c r="AJ477" s="364"/>
      <c r="AK477" s="364"/>
      <c r="AL477" s="364"/>
      <c r="AM477" s="364"/>
    </row>
    <row r="478" spans="1:39" s="231" customFormat="1">
      <c r="A478" s="1"/>
      <c r="B478" s="1"/>
      <c r="C478" s="2"/>
      <c r="D478" s="1"/>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0"/>
      <c r="AL478" s="590"/>
      <c r="AM478" s="590"/>
    </row>
    <row r="479" spans="1:39" s="231" customFormat="1">
      <c r="A479" s="1"/>
      <c r="B479" s="1"/>
      <c r="C479" s="2"/>
      <c r="D479" s="1"/>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226" t="s">
        <v>24</v>
      </c>
      <c r="AK479" s="612">
        <f>AK410+1</f>
        <v>7</v>
      </c>
      <c r="AL479" s="612"/>
      <c r="AM479" s="226" t="s">
        <v>24</v>
      </c>
    </row>
    <row r="480" spans="1:39" s="361" customFormat="1">
      <c r="A480" s="1"/>
      <c r="B480" s="1"/>
      <c r="C480" s="2"/>
      <c r="D480" s="1"/>
      <c r="E480" s="366"/>
      <c r="F480" s="366"/>
      <c r="G480" s="366"/>
      <c r="H480" s="366"/>
      <c r="I480" s="366"/>
      <c r="J480" s="366"/>
      <c r="K480" s="366"/>
      <c r="L480" s="366"/>
      <c r="M480" s="366"/>
      <c r="N480" s="366"/>
      <c r="O480" s="366"/>
      <c r="P480" s="366"/>
      <c r="Q480" s="366"/>
      <c r="R480" s="366"/>
      <c r="S480" s="366"/>
      <c r="T480" s="366"/>
      <c r="U480" s="366"/>
      <c r="V480" s="366"/>
      <c r="W480" s="366"/>
      <c r="X480" s="366"/>
      <c r="Y480" s="366"/>
      <c r="Z480" s="366"/>
      <c r="AA480" s="366"/>
      <c r="AB480" s="366"/>
      <c r="AC480" s="366"/>
      <c r="AD480" s="366"/>
      <c r="AE480" s="366"/>
      <c r="AF480" s="366"/>
      <c r="AG480" s="366"/>
      <c r="AH480" s="366"/>
      <c r="AI480" s="366"/>
      <c r="AJ480" s="362"/>
      <c r="AK480" s="362"/>
      <c r="AL480" s="362"/>
      <c r="AM480" s="362"/>
    </row>
    <row r="481" spans="1:39" s="231" customFormat="1">
      <c r="A481" s="1"/>
      <c r="B481" s="1"/>
      <c r="C481" s="2"/>
      <c r="D481" s="1"/>
      <c r="E481" s="265" t="str">
        <f>UPPER($Y$28)</f>
        <v>ПТ ЛОМБАРД "МЕРКУРІЙ"</v>
      </c>
      <c r="F481" s="265"/>
      <c r="G481" s="265"/>
      <c r="H481" s="265"/>
      <c r="I481" s="265"/>
      <c r="J481" s="265"/>
      <c r="K481" s="265"/>
      <c r="L481" s="265"/>
      <c r="M481" s="265"/>
      <c r="N481" s="265"/>
      <c r="O481" s="265"/>
      <c r="P481" s="265"/>
      <c r="Q481" s="265"/>
      <c r="R481" s="265"/>
      <c r="S481" s="265"/>
      <c r="T481" s="265"/>
      <c r="U481" s="265"/>
      <c r="V481" s="265"/>
      <c r="W481" s="265"/>
      <c r="X481" s="265"/>
      <c r="Y481" s="265"/>
      <c r="Z481" s="265"/>
      <c r="AA481" s="265"/>
      <c r="AB481" s="265"/>
      <c r="AC481" s="265"/>
      <c r="AD481" s="265"/>
      <c r="AE481" s="265"/>
      <c r="AF481" s="265"/>
      <c r="AG481" s="265"/>
      <c r="AH481" s="265"/>
      <c r="AI481" s="265"/>
      <c r="AJ481" s="265"/>
      <c r="AK481" s="265"/>
      <c r="AL481" s="265"/>
      <c r="AM481" s="265"/>
    </row>
    <row r="482" spans="1:39" s="231" customFormat="1">
      <c r="A482" s="1"/>
      <c r="B482" s="1"/>
      <c r="C482" s="2"/>
      <c r="D482" s="1"/>
      <c r="E482" s="269" t="s">
        <v>143</v>
      </c>
      <c r="F482" s="269"/>
      <c r="G482" s="269"/>
      <c r="H482" s="269"/>
      <c r="I482" s="269"/>
      <c r="J482" s="269"/>
      <c r="K482" s="269"/>
      <c r="L482" s="269"/>
      <c r="M482" s="269"/>
      <c r="N482" s="269"/>
      <c r="O482" s="269"/>
      <c r="P482" s="269"/>
      <c r="Q482" s="269"/>
      <c r="R482" s="269"/>
      <c r="S482" s="269"/>
      <c r="T482" s="269"/>
      <c r="U482" s="269"/>
      <c r="V482" s="269"/>
      <c r="W482" s="269"/>
      <c r="X482" s="269"/>
      <c r="Y482" s="269"/>
      <c r="Z482" s="269"/>
      <c r="AA482" s="269"/>
      <c r="AB482" s="269"/>
      <c r="AC482" s="269"/>
      <c r="AD482" s="269"/>
      <c r="AE482" s="269"/>
      <c r="AF482" s="269"/>
      <c r="AG482" s="269"/>
      <c r="AH482" s="269"/>
      <c r="AI482" s="269"/>
      <c r="AJ482" s="269"/>
      <c r="AK482" s="269"/>
      <c r="AL482" s="269"/>
      <c r="AM482" s="269"/>
    </row>
    <row r="483" spans="1:39" s="231" customFormat="1">
      <c r="A483" s="1"/>
      <c r="B483" s="1"/>
      <c r="C483" s="2"/>
      <c r="D483" s="1"/>
      <c r="E483" s="269" t="str">
        <f>$E$274</f>
        <v>ЗА РІК, ЩО ЗАКІНЧИВСЯ 31 ГРУДНЯ 2020 РОКУ</v>
      </c>
      <c r="F483" s="269"/>
      <c r="G483" s="269"/>
      <c r="H483" s="269"/>
      <c r="I483" s="269"/>
      <c r="J483" s="269"/>
      <c r="K483" s="269"/>
      <c r="L483" s="269"/>
      <c r="M483" s="269"/>
      <c r="N483" s="269"/>
      <c r="O483" s="269"/>
      <c r="P483" s="269"/>
      <c r="Q483" s="269"/>
      <c r="R483" s="269"/>
      <c r="S483" s="269"/>
      <c r="T483" s="269"/>
      <c r="U483" s="269"/>
      <c r="V483" s="269"/>
      <c r="W483" s="269"/>
      <c r="X483" s="269"/>
      <c r="Y483" s="269"/>
      <c r="Z483" s="269"/>
      <c r="AA483" s="269"/>
      <c r="AB483" s="269"/>
      <c r="AC483" s="269"/>
      <c r="AD483" s="269"/>
      <c r="AE483" s="269"/>
      <c r="AF483" s="269"/>
      <c r="AG483" s="269"/>
      <c r="AH483" s="269"/>
      <c r="AI483" s="269"/>
      <c r="AJ483" s="269"/>
      <c r="AK483" s="269"/>
      <c r="AL483" s="269"/>
      <c r="AM483" s="269"/>
    </row>
    <row r="484" spans="1:39" s="231" customFormat="1">
      <c r="A484" s="1"/>
      <c r="B484" s="1"/>
      <c r="C484" s="2"/>
      <c r="D484" s="1"/>
      <c r="E484" s="244" t="str">
        <f>$E$209</f>
        <v>(в тисячах гривень, якщо не вказано інше)</v>
      </c>
      <c r="F484" s="244"/>
      <c r="G484" s="244"/>
      <c r="H484" s="244"/>
      <c r="I484" s="244"/>
      <c r="J484" s="244"/>
      <c r="K484" s="244"/>
      <c r="L484" s="244"/>
      <c r="M484" s="244"/>
      <c r="N484" s="244"/>
      <c r="O484" s="244"/>
      <c r="P484" s="244"/>
      <c r="Q484" s="244"/>
      <c r="R484" s="244"/>
      <c r="S484" s="244"/>
      <c r="T484" s="244"/>
      <c r="U484" s="244"/>
      <c r="V484" s="244"/>
      <c r="W484" s="244"/>
      <c r="X484" s="244"/>
      <c r="Y484" s="244"/>
      <c r="Z484" s="244"/>
      <c r="AA484" s="244"/>
      <c r="AB484" s="244"/>
      <c r="AC484" s="244"/>
      <c r="AD484" s="244"/>
      <c r="AE484" s="244"/>
      <c r="AF484" s="244"/>
      <c r="AG484" s="244"/>
      <c r="AH484" s="244"/>
      <c r="AI484" s="244"/>
      <c r="AJ484" s="244"/>
      <c r="AK484" s="244"/>
      <c r="AL484" s="244"/>
      <c r="AM484" s="244"/>
    </row>
    <row r="485" spans="1:39" ht="9" customHeight="1"/>
    <row r="486" spans="1:39" s="231" customFormat="1" ht="14.1" customHeight="1">
      <c r="A486" s="1"/>
      <c r="B486" s="1"/>
      <c r="C486" s="2"/>
      <c r="D486" s="1"/>
      <c r="E486" s="52"/>
      <c r="F486" s="55" t="s">
        <v>476</v>
      </c>
      <c r="G486" s="55"/>
      <c r="H486" s="661" t="s">
        <v>144</v>
      </c>
      <c r="I486" s="661"/>
      <c r="J486" s="661"/>
      <c r="K486" s="661"/>
      <c r="L486" s="661"/>
      <c r="M486" s="661"/>
      <c r="N486" s="661"/>
      <c r="O486" s="661"/>
      <c r="P486" s="661"/>
      <c r="Q486" s="661"/>
      <c r="R486" s="661"/>
      <c r="S486" s="661"/>
      <c r="T486" s="661"/>
      <c r="U486" s="661"/>
      <c r="V486" s="661"/>
      <c r="W486" s="661"/>
      <c r="X486" s="661"/>
      <c r="Y486" s="661"/>
      <c r="Z486" s="661"/>
      <c r="AA486" s="661"/>
      <c r="AB486" s="661"/>
      <c r="AC486" s="661"/>
      <c r="AD486" s="661"/>
      <c r="AE486" s="661"/>
      <c r="AF486" s="661"/>
      <c r="AG486" s="661"/>
      <c r="AH486" s="661"/>
      <c r="AI486" s="661"/>
      <c r="AJ486" s="661"/>
      <c r="AK486" s="661"/>
      <c r="AL486" s="661"/>
      <c r="AM486" s="55"/>
    </row>
    <row r="487" spans="1:39" s="231" customFormat="1" ht="6.75" customHeight="1">
      <c r="A487" s="1"/>
      <c r="B487" s="1"/>
      <c r="C487" s="2"/>
      <c r="D487" s="1"/>
      <c r="E487" s="52"/>
      <c r="F487" s="223"/>
      <c r="G487" s="223"/>
      <c r="H487" s="224"/>
      <c r="I487" s="224"/>
      <c r="J487" s="224"/>
      <c r="K487" s="224"/>
      <c r="L487" s="224"/>
      <c r="M487" s="224"/>
      <c r="N487" s="224"/>
      <c r="O487" s="224"/>
      <c r="P487" s="224"/>
      <c r="Q487" s="224"/>
      <c r="R487" s="224"/>
      <c r="S487" s="224"/>
      <c r="T487" s="224"/>
      <c r="U487" s="224"/>
      <c r="V487" s="224"/>
      <c r="W487" s="224"/>
      <c r="X487" s="224"/>
      <c r="Y487" s="224"/>
      <c r="Z487" s="224"/>
      <c r="AA487" s="224"/>
      <c r="AB487" s="224"/>
      <c r="AC487" s="224"/>
      <c r="AD487" s="224"/>
      <c r="AE487" s="224"/>
      <c r="AF487" s="224"/>
      <c r="AG487" s="224"/>
      <c r="AH487" s="224"/>
      <c r="AI487" s="224"/>
      <c r="AJ487" s="224"/>
      <c r="AK487" s="224"/>
      <c r="AL487" s="224"/>
      <c r="AM487" s="224"/>
    </row>
    <row r="488" spans="1:39" s="231" customFormat="1" ht="15" customHeight="1">
      <c r="A488" s="1"/>
      <c r="B488" s="1"/>
      <c r="C488" s="2"/>
      <c r="D488" s="1"/>
      <c r="E488" s="52"/>
      <c r="F488" s="625" t="s">
        <v>1661</v>
      </c>
      <c r="G488" s="625"/>
      <c r="H488" s="625"/>
      <c r="I488" s="625"/>
      <c r="J488" s="625"/>
      <c r="K488" s="625"/>
      <c r="L488" s="625"/>
      <c r="M488" s="625"/>
      <c r="N488" s="625"/>
      <c r="O488" s="625"/>
      <c r="P488" s="625"/>
      <c r="Q488" s="625"/>
      <c r="R488" s="625"/>
      <c r="S488" s="625"/>
      <c r="T488" s="625"/>
      <c r="U488" s="625"/>
      <c r="V488" s="625"/>
      <c r="W488" s="625"/>
      <c r="X488" s="625"/>
      <c r="Y488" s="625"/>
      <c r="Z488" s="625"/>
      <c r="AA488" s="625"/>
      <c r="AB488" s="625"/>
      <c r="AC488" s="625"/>
      <c r="AD488" s="625"/>
      <c r="AE488" s="625"/>
      <c r="AF488" s="625"/>
      <c r="AG488" s="625"/>
      <c r="AH488" s="625"/>
      <c r="AI488" s="625"/>
      <c r="AJ488" s="625"/>
      <c r="AK488" s="625"/>
      <c r="AL488" s="625"/>
      <c r="AM488" s="224"/>
    </row>
    <row r="489" spans="1:39" s="231" customFormat="1">
      <c r="A489" s="1"/>
      <c r="B489" s="1"/>
      <c r="C489" s="2"/>
      <c r="D489" s="1"/>
      <c r="E489" s="52"/>
      <c r="F489" s="625"/>
      <c r="G489" s="625"/>
      <c r="H489" s="625"/>
      <c r="I489" s="625"/>
      <c r="J489" s="625"/>
      <c r="K489" s="625"/>
      <c r="L489" s="625"/>
      <c r="M489" s="625"/>
      <c r="N489" s="625"/>
      <c r="O489" s="625"/>
      <c r="P489" s="625"/>
      <c r="Q489" s="625"/>
      <c r="R489" s="625"/>
      <c r="S489" s="625"/>
      <c r="T489" s="625"/>
      <c r="U489" s="625"/>
      <c r="V489" s="625"/>
      <c r="W489" s="625"/>
      <c r="X489" s="625"/>
      <c r="Y489" s="625"/>
      <c r="Z489" s="625"/>
      <c r="AA489" s="625"/>
      <c r="AB489" s="625"/>
      <c r="AC489" s="625"/>
      <c r="AD489" s="625"/>
      <c r="AE489" s="625"/>
      <c r="AF489" s="625"/>
      <c r="AG489" s="625"/>
      <c r="AH489" s="625"/>
      <c r="AI489" s="625"/>
      <c r="AJ489" s="625"/>
      <c r="AK489" s="625"/>
      <c r="AL489" s="625"/>
      <c r="AM489" s="224"/>
    </row>
    <row r="490" spans="1:39" s="231" customFormat="1">
      <c r="A490" s="1"/>
      <c r="B490" s="1"/>
      <c r="C490" s="2"/>
      <c r="D490" s="1"/>
      <c r="E490" s="247"/>
      <c r="F490" s="625"/>
      <c r="G490" s="625"/>
      <c r="H490" s="625"/>
      <c r="I490" s="625"/>
      <c r="J490" s="625"/>
      <c r="K490" s="625"/>
      <c r="L490" s="625"/>
      <c r="M490" s="625"/>
      <c r="N490" s="625"/>
      <c r="O490" s="625"/>
      <c r="P490" s="625"/>
      <c r="Q490" s="625"/>
      <c r="R490" s="625"/>
      <c r="S490" s="625"/>
      <c r="T490" s="625"/>
      <c r="U490" s="625"/>
      <c r="V490" s="625"/>
      <c r="W490" s="625"/>
      <c r="X490" s="625"/>
      <c r="Y490" s="625"/>
      <c r="Z490" s="625"/>
      <c r="AA490" s="625"/>
      <c r="AB490" s="625"/>
      <c r="AC490" s="625"/>
      <c r="AD490" s="625"/>
      <c r="AE490" s="625"/>
      <c r="AF490" s="625"/>
      <c r="AG490" s="625"/>
      <c r="AH490" s="625"/>
      <c r="AI490" s="625"/>
      <c r="AJ490" s="625"/>
      <c r="AK490" s="625"/>
      <c r="AL490" s="625"/>
      <c r="AM490" s="247"/>
    </row>
    <row r="491" spans="1:39" s="231" customFormat="1" ht="14.1" customHeight="1">
      <c r="A491" s="1"/>
      <c r="B491" s="44"/>
      <c r="C491" s="45"/>
      <c r="D491" s="1"/>
      <c r="E491" s="247"/>
      <c r="F491" s="625"/>
      <c r="G491" s="625"/>
      <c r="H491" s="625"/>
      <c r="I491" s="625"/>
      <c r="J491" s="625"/>
      <c r="K491" s="625"/>
      <c r="L491" s="625"/>
      <c r="M491" s="625"/>
      <c r="N491" s="625"/>
      <c r="O491" s="625"/>
      <c r="P491" s="625"/>
      <c r="Q491" s="625"/>
      <c r="R491" s="625"/>
      <c r="S491" s="625"/>
      <c r="T491" s="625"/>
      <c r="U491" s="625"/>
      <c r="V491" s="625"/>
      <c r="W491" s="625"/>
      <c r="X491" s="625"/>
      <c r="Y491" s="625"/>
      <c r="Z491" s="625"/>
      <c r="AA491" s="625"/>
      <c r="AB491" s="625"/>
      <c r="AC491" s="625"/>
      <c r="AD491" s="625"/>
      <c r="AE491" s="625"/>
      <c r="AF491" s="625"/>
      <c r="AG491" s="625"/>
      <c r="AH491" s="625"/>
      <c r="AI491" s="625"/>
      <c r="AJ491" s="625"/>
      <c r="AK491" s="625"/>
      <c r="AL491" s="625"/>
      <c r="AM491" s="250"/>
    </row>
    <row r="492" spans="1:39" s="231" customFormat="1">
      <c r="A492" s="1"/>
      <c r="B492" s="44"/>
      <c r="C492" s="45"/>
      <c r="D492" s="1"/>
      <c r="E492" s="247"/>
      <c r="F492" s="625"/>
      <c r="G492" s="625"/>
      <c r="H492" s="625"/>
      <c r="I492" s="625"/>
      <c r="J492" s="625"/>
      <c r="K492" s="625"/>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25"/>
      <c r="AL492" s="625"/>
      <c r="AM492" s="250"/>
    </row>
    <row r="493" spans="1:39" s="231" customFormat="1" ht="126" customHeight="1">
      <c r="A493" s="1"/>
      <c r="B493" s="44"/>
      <c r="C493" s="45"/>
      <c r="D493" s="1"/>
      <c r="E493" s="247"/>
      <c r="F493" s="625"/>
      <c r="G493" s="625"/>
      <c r="H493" s="625"/>
      <c r="I493" s="625"/>
      <c r="J493" s="625"/>
      <c r="K493" s="625"/>
      <c r="L493" s="625"/>
      <c r="M493" s="625"/>
      <c r="N493" s="625"/>
      <c r="O493" s="625"/>
      <c r="P493" s="625"/>
      <c r="Q493" s="625"/>
      <c r="R493" s="625"/>
      <c r="S493" s="625"/>
      <c r="T493" s="625"/>
      <c r="U493" s="625"/>
      <c r="V493" s="625"/>
      <c r="W493" s="625"/>
      <c r="X493" s="625"/>
      <c r="Y493" s="625"/>
      <c r="Z493" s="625"/>
      <c r="AA493" s="625"/>
      <c r="AB493" s="625"/>
      <c r="AC493" s="625"/>
      <c r="AD493" s="625"/>
      <c r="AE493" s="625"/>
      <c r="AF493" s="625"/>
      <c r="AG493" s="625"/>
      <c r="AH493" s="625"/>
      <c r="AI493" s="625"/>
      <c r="AJ493" s="625"/>
      <c r="AK493" s="625"/>
      <c r="AL493" s="625"/>
      <c r="AM493" s="250"/>
    </row>
    <row r="494" spans="1:39" s="46" customFormat="1" ht="12.75" customHeight="1">
      <c r="A494" s="44"/>
      <c r="B494" s="44"/>
      <c r="C494" s="45"/>
      <c r="D494" s="1"/>
      <c r="E494" s="247"/>
      <c r="F494" s="625" t="s">
        <v>145</v>
      </c>
      <c r="G494" s="625"/>
      <c r="H494" s="625"/>
      <c r="I494" s="625"/>
      <c r="J494" s="625"/>
      <c r="K494" s="625"/>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25"/>
      <c r="AL494" s="625"/>
      <c r="AM494" s="250"/>
    </row>
    <row r="495" spans="1:39" s="46" customFormat="1">
      <c r="A495" s="44"/>
      <c r="B495" s="44"/>
      <c r="C495" s="45"/>
      <c r="D495" s="1"/>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53"/>
      <c r="AL495" s="53"/>
      <c r="AM495" s="53"/>
    </row>
    <row r="496" spans="1:39" s="231" customFormat="1" ht="14.1" customHeight="1">
      <c r="A496" s="1"/>
      <c r="B496" s="1"/>
      <c r="C496" s="2"/>
      <c r="D496" s="1"/>
      <c r="E496" s="248"/>
      <c r="F496" s="55" t="str">
        <f>(MID(F486,1,1)+1)&amp;"."</f>
        <v>2.</v>
      </c>
      <c r="G496" s="55"/>
      <c r="H496" s="661" t="s">
        <v>146</v>
      </c>
      <c r="I496" s="661"/>
      <c r="J496" s="661"/>
      <c r="K496" s="661"/>
      <c r="L496" s="661"/>
      <c r="M496" s="661"/>
      <c r="N496" s="661"/>
      <c r="O496" s="661"/>
      <c r="P496" s="661"/>
      <c r="Q496" s="661"/>
      <c r="R496" s="661"/>
      <c r="S496" s="661"/>
      <c r="T496" s="661"/>
      <c r="U496" s="661"/>
      <c r="V496" s="661"/>
      <c r="W496" s="661"/>
      <c r="X496" s="661"/>
      <c r="Y496" s="661"/>
      <c r="Z496" s="661"/>
      <c r="AA496" s="661"/>
      <c r="AB496" s="661"/>
      <c r="AC496" s="661"/>
      <c r="AD496" s="661"/>
      <c r="AE496" s="661"/>
      <c r="AF496" s="661"/>
      <c r="AG496" s="661"/>
      <c r="AH496" s="661"/>
      <c r="AI496" s="661"/>
      <c r="AJ496" s="661"/>
      <c r="AK496" s="661"/>
      <c r="AL496" s="661"/>
      <c r="AM496" s="55"/>
    </row>
    <row r="497" spans="1:39" s="104" customFormat="1">
      <c r="A497" s="1"/>
      <c r="B497" s="1"/>
      <c r="C497" s="2"/>
      <c r="D497" s="1"/>
      <c r="E497" s="98"/>
      <c r="F497" s="114"/>
      <c r="G497" s="114"/>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3"/>
      <c r="AL497" s="113"/>
      <c r="AM497" s="113"/>
    </row>
    <row r="498" spans="1:39" s="231" customFormat="1" ht="14.1" customHeight="1">
      <c r="A498" s="1"/>
      <c r="B498" s="1"/>
      <c r="C498" s="2"/>
      <c r="D498" s="1"/>
      <c r="E498" s="248"/>
      <c r="F498" s="276" t="s">
        <v>1459</v>
      </c>
      <c r="G498" s="55"/>
      <c r="H498" s="661" t="s">
        <v>1358</v>
      </c>
      <c r="I498" s="661"/>
      <c r="J498" s="661"/>
      <c r="K498" s="661"/>
      <c r="L498" s="661"/>
      <c r="M498" s="661"/>
      <c r="N498" s="661"/>
      <c r="O498" s="661"/>
      <c r="P498" s="661"/>
      <c r="Q498" s="661"/>
      <c r="R498" s="661"/>
      <c r="S498" s="661"/>
      <c r="T498" s="661"/>
      <c r="U498" s="661"/>
      <c r="V498" s="661"/>
      <c r="W498" s="661"/>
      <c r="X498" s="661"/>
      <c r="Y498" s="661"/>
      <c r="Z498" s="661"/>
      <c r="AA498" s="661"/>
      <c r="AB498" s="661"/>
      <c r="AC498" s="661"/>
      <c r="AD498" s="55"/>
      <c r="AE498" s="55"/>
      <c r="AF498" s="55"/>
      <c r="AG498" s="55"/>
      <c r="AH498" s="55"/>
      <c r="AI498" s="55"/>
      <c r="AJ498" s="55"/>
      <c r="AK498" s="55"/>
      <c r="AL498" s="55"/>
      <c r="AM498" s="55"/>
    </row>
    <row r="499" spans="1:39" s="231" customFormat="1" ht="15" customHeight="1">
      <c r="A499" s="1"/>
      <c r="B499" s="1"/>
      <c r="C499" s="2"/>
      <c r="D499" s="1"/>
      <c r="E499" s="248"/>
      <c r="F499" s="569" t="s">
        <v>1357</v>
      </c>
      <c r="G499" s="569"/>
      <c r="H499" s="569"/>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69"/>
      <c r="AL499" s="569"/>
      <c r="AM499" s="224"/>
    </row>
    <row r="500" spans="1:39" s="231" customFormat="1" ht="14.1" customHeight="1">
      <c r="A500" s="1"/>
      <c r="B500" s="1"/>
      <c r="C500" s="2"/>
      <c r="D500" s="1"/>
      <c r="E500" s="248"/>
      <c r="F500" s="569"/>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69"/>
      <c r="AL500" s="569"/>
      <c r="AM500" s="249"/>
    </row>
    <row r="501" spans="1:39" s="231" customFormat="1">
      <c r="A501" s="1"/>
      <c r="B501" s="1"/>
      <c r="C501" s="2"/>
      <c r="D501" s="1"/>
      <c r="E501" s="248"/>
      <c r="F501" s="569"/>
      <c r="G501" s="569"/>
      <c r="H501" s="569"/>
      <c r="I501" s="569"/>
      <c r="J501" s="569"/>
      <c r="K501" s="569"/>
      <c r="L501" s="569"/>
      <c r="M501" s="569"/>
      <c r="N501" s="569"/>
      <c r="O501" s="569"/>
      <c r="P501" s="569"/>
      <c r="Q501" s="569"/>
      <c r="R501" s="569"/>
      <c r="S501" s="569"/>
      <c r="T501" s="569"/>
      <c r="U501" s="569"/>
      <c r="V501" s="569"/>
      <c r="W501" s="569"/>
      <c r="X501" s="569"/>
      <c r="Y501" s="569"/>
      <c r="Z501" s="569"/>
      <c r="AA501" s="569"/>
      <c r="AB501" s="569"/>
      <c r="AC501" s="569"/>
      <c r="AD501" s="569"/>
      <c r="AE501" s="569"/>
      <c r="AF501" s="569"/>
      <c r="AG501" s="569"/>
      <c r="AH501" s="569"/>
      <c r="AI501" s="569"/>
      <c r="AJ501" s="569"/>
      <c r="AK501" s="569"/>
      <c r="AL501" s="569"/>
      <c r="AM501" s="249"/>
    </row>
    <row r="502" spans="1:39" s="231" customFormat="1">
      <c r="A502" s="1"/>
      <c r="B502" s="1"/>
      <c r="C502" s="2"/>
      <c r="D502" s="1"/>
      <c r="E502" s="248"/>
      <c r="F502" s="569"/>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69"/>
      <c r="AL502" s="569"/>
      <c r="AM502" s="249"/>
    </row>
    <row r="503" spans="1:39" s="231" customFormat="1" ht="36.950000000000003" customHeight="1">
      <c r="A503" s="1"/>
      <c r="B503" s="1"/>
      <c r="C503" s="2"/>
      <c r="D503" s="1"/>
      <c r="E503" s="248"/>
      <c r="F503" s="569"/>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69"/>
      <c r="AL503" s="569"/>
      <c r="AM503" s="249"/>
    </row>
    <row r="504" spans="1:39">
      <c r="E504" s="54"/>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row>
    <row r="505" spans="1:39" s="231" customFormat="1" ht="14.1" customHeight="1">
      <c r="A505" s="1"/>
      <c r="B505" s="1"/>
      <c r="C505" s="2"/>
      <c r="D505" s="1">
        <v>1</v>
      </c>
      <c r="E505" s="248"/>
      <c r="F505" s="276" t="s">
        <v>1460</v>
      </c>
      <c r="G505" s="55"/>
      <c r="H505" s="661" t="s">
        <v>147</v>
      </c>
      <c r="I505" s="661"/>
      <c r="J505" s="661"/>
      <c r="K505" s="661"/>
      <c r="L505" s="661"/>
      <c r="M505" s="661"/>
      <c r="N505" s="661"/>
      <c r="O505" s="661"/>
      <c r="P505" s="661"/>
      <c r="Q505" s="661"/>
      <c r="R505" s="661"/>
      <c r="S505" s="661"/>
      <c r="T505" s="661"/>
      <c r="U505" s="661"/>
      <c r="V505" s="661"/>
      <c r="W505" s="661"/>
      <c r="X505" s="661"/>
      <c r="Y505" s="661"/>
      <c r="Z505" s="661"/>
      <c r="AA505" s="55"/>
      <c r="AB505" s="55"/>
      <c r="AC505" s="55"/>
      <c r="AD505" s="55"/>
      <c r="AE505" s="55"/>
      <c r="AF505" s="55"/>
      <c r="AG505" s="55"/>
      <c r="AH505" s="55"/>
      <c r="AI505" s="55"/>
      <c r="AJ505" s="55"/>
      <c r="AK505" s="55"/>
      <c r="AL505" s="55"/>
      <c r="AM505" s="55"/>
    </row>
    <row r="506" spans="1:39" ht="14.1" customHeight="1">
      <c r="E506" s="54"/>
      <c r="F506" s="569" t="s">
        <v>148</v>
      </c>
      <c r="G506" s="569"/>
      <c r="H506" s="569"/>
      <c r="I506" s="569"/>
      <c r="J506" s="569"/>
      <c r="K506" s="569"/>
      <c r="L506" s="569"/>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69"/>
      <c r="AL506" s="569"/>
      <c r="AM506" s="249"/>
    </row>
    <row r="507" spans="1:39" ht="26.25" customHeight="1">
      <c r="E507" s="54"/>
      <c r="F507" s="569"/>
      <c r="G507" s="569"/>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69"/>
      <c r="AL507" s="569"/>
      <c r="AM507" s="249"/>
    </row>
    <row r="508" spans="1:39">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4"/>
      <c r="AL508" s="54"/>
      <c r="AM508" s="54"/>
    </row>
    <row r="509" spans="1:39" s="231" customFormat="1" ht="14.1" customHeight="1">
      <c r="A509" s="1"/>
      <c r="B509" s="1"/>
      <c r="C509" s="2"/>
      <c r="D509" s="1"/>
      <c r="E509" s="248"/>
      <c r="F509" s="569" t="s">
        <v>1354</v>
      </c>
      <c r="G509" s="569"/>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69"/>
      <c r="AL509" s="569"/>
      <c r="AM509" s="249"/>
    </row>
    <row r="510" spans="1:39" s="231" customFormat="1">
      <c r="A510" s="1"/>
      <c r="B510" s="1"/>
      <c r="C510" s="2"/>
      <c r="D510" s="1"/>
      <c r="E510" s="248"/>
      <c r="F510" s="569"/>
      <c r="G510" s="569"/>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69"/>
      <c r="AL510" s="569"/>
      <c r="AM510" s="249"/>
    </row>
    <row r="511" spans="1:39" s="231" customFormat="1">
      <c r="A511" s="1"/>
      <c r="B511" s="1"/>
      <c r="C511" s="2"/>
      <c r="D511" s="1"/>
      <c r="E511" s="248"/>
      <c r="F511" s="569"/>
      <c r="G511" s="569"/>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69"/>
      <c r="AL511" s="569"/>
      <c r="AM511" s="249"/>
    </row>
    <row r="512" spans="1:39" s="231" customFormat="1">
      <c r="A512" s="1"/>
      <c r="B512" s="1"/>
      <c r="C512" s="2"/>
      <c r="D512" s="1"/>
      <c r="E512" s="248"/>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69"/>
      <c r="AL512" s="569"/>
      <c r="AM512" s="249"/>
    </row>
    <row r="513" spans="5:39">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row>
    <row r="514" spans="5:39" ht="14.1" customHeight="1">
      <c r="E514" s="54"/>
      <c r="F514" s="569" t="s">
        <v>1662</v>
      </c>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69"/>
      <c r="AL514" s="569"/>
      <c r="AM514" s="249"/>
    </row>
    <row r="515" spans="5:39" ht="39" customHeight="1">
      <c r="E515" s="54"/>
      <c r="F515" s="569"/>
      <c r="G515" s="569"/>
      <c r="H515" s="569"/>
      <c r="I515" s="569"/>
      <c r="J515" s="569"/>
      <c r="K515" s="569"/>
      <c r="L515" s="569"/>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69"/>
      <c r="AL515" s="569"/>
      <c r="AM515" s="249"/>
    </row>
    <row r="516" spans="5:39" hidden="1">
      <c r="E516" s="54"/>
      <c r="F516" s="655" t="s">
        <v>149</v>
      </c>
      <c r="G516" s="655"/>
      <c r="H516" s="655"/>
      <c r="I516" s="655"/>
      <c r="J516" s="655"/>
      <c r="K516" s="655"/>
      <c r="L516" s="655"/>
      <c r="M516" s="655"/>
      <c r="N516" s="655"/>
      <c r="O516" s="655"/>
      <c r="P516" s="655"/>
      <c r="Q516" s="655"/>
      <c r="R516" s="655"/>
      <c r="S516" s="655"/>
      <c r="T516" s="655"/>
      <c r="U516" s="655"/>
      <c r="V516" s="655"/>
      <c r="W516" s="655"/>
      <c r="X516" s="655"/>
      <c r="Y516" s="655"/>
      <c r="Z516" s="655"/>
      <c r="AA516" s="655"/>
      <c r="AB516" s="655"/>
      <c r="AC516" s="655"/>
      <c r="AD516" s="655"/>
      <c r="AE516" s="655"/>
      <c r="AF516" s="655"/>
      <c r="AG516" s="655"/>
      <c r="AH516" s="655"/>
      <c r="AI516" s="655"/>
      <c r="AJ516" s="655"/>
      <c r="AK516" s="655"/>
      <c r="AL516" s="655"/>
      <c r="AM516" s="655"/>
    </row>
    <row r="517" spans="5:39" hidden="1">
      <c r="E517" s="54"/>
      <c r="F517" s="655"/>
      <c r="G517" s="655"/>
      <c r="H517" s="655"/>
      <c r="I517" s="655"/>
      <c r="J517" s="655"/>
      <c r="K517" s="655"/>
      <c r="L517" s="655"/>
      <c r="M517" s="655"/>
      <c r="N517" s="655"/>
      <c r="O517" s="655"/>
      <c r="P517" s="655"/>
      <c r="Q517" s="655"/>
      <c r="R517" s="655"/>
      <c r="S517" s="655"/>
      <c r="T517" s="655"/>
      <c r="U517" s="655"/>
      <c r="V517" s="655"/>
      <c r="W517" s="655"/>
      <c r="X517" s="655"/>
      <c r="Y517" s="655"/>
      <c r="Z517" s="655"/>
      <c r="AA517" s="655"/>
      <c r="AB517" s="655"/>
      <c r="AC517" s="655"/>
      <c r="AD517" s="655"/>
      <c r="AE517" s="655"/>
      <c r="AF517" s="655"/>
      <c r="AG517" s="655"/>
      <c r="AH517" s="655"/>
      <c r="AI517" s="655"/>
      <c r="AJ517" s="655"/>
      <c r="AK517" s="655"/>
      <c r="AL517" s="655"/>
      <c r="AM517" s="655"/>
    </row>
    <row r="518" spans="5:39" hidden="1">
      <c r="E518" s="54"/>
      <c r="F518" s="655"/>
      <c r="G518" s="655"/>
      <c r="H518" s="655"/>
      <c r="I518" s="655"/>
      <c r="J518" s="655"/>
      <c r="K518" s="655"/>
      <c r="L518" s="655"/>
      <c r="M518" s="655"/>
      <c r="N518" s="655"/>
      <c r="O518" s="655"/>
      <c r="P518" s="655"/>
      <c r="Q518" s="655"/>
      <c r="R518" s="655"/>
      <c r="S518" s="655"/>
      <c r="T518" s="655"/>
      <c r="U518" s="655"/>
      <c r="V518" s="655"/>
      <c r="W518" s="655"/>
      <c r="X518" s="655"/>
      <c r="Y518" s="655"/>
      <c r="Z518" s="655"/>
      <c r="AA518" s="655"/>
      <c r="AB518" s="655"/>
      <c r="AC518" s="655"/>
      <c r="AD518" s="655"/>
      <c r="AE518" s="655"/>
      <c r="AF518" s="655"/>
      <c r="AG518" s="655"/>
      <c r="AH518" s="655"/>
      <c r="AI518" s="655"/>
      <c r="AJ518" s="655"/>
      <c r="AK518" s="655"/>
      <c r="AL518" s="655"/>
      <c r="AM518" s="655"/>
    </row>
    <row r="519" spans="5:39" hidden="1">
      <c r="E519" s="54"/>
      <c r="F519" s="655"/>
      <c r="G519" s="655"/>
      <c r="H519" s="655"/>
      <c r="I519" s="655"/>
      <c r="J519" s="655"/>
      <c r="K519" s="655"/>
      <c r="L519" s="655"/>
      <c r="M519" s="655"/>
      <c r="N519" s="655"/>
      <c r="O519" s="655"/>
      <c r="P519" s="655"/>
      <c r="Q519" s="655"/>
      <c r="R519" s="655"/>
      <c r="S519" s="655"/>
      <c r="T519" s="655"/>
      <c r="U519" s="655"/>
      <c r="V519" s="655"/>
      <c r="W519" s="655"/>
      <c r="X519" s="655"/>
      <c r="Y519" s="655"/>
      <c r="Z519" s="655"/>
      <c r="AA519" s="655"/>
      <c r="AB519" s="655"/>
      <c r="AC519" s="655"/>
      <c r="AD519" s="655"/>
      <c r="AE519" s="655"/>
      <c r="AF519" s="655"/>
      <c r="AG519" s="655"/>
      <c r="AH519" s="655"/>
      <c r="AI519" s="655"/>
      <c r="AJ519" s="655"/>
      <c r="AK519" s="655"/>
      <c r="AL519" s="655"/>
      <c r="AM519" s="655"/>
    </row>
    <row r="520" spans="5:39" hidden="1">
      <c r="E520" s="54"/>
      <c r="F520" s="655"/>
      <c r="G520" s="655"/>
      <c r="H520" s="655"/>
      <c r="I520" s="655"/>
      <c r="J520" s="655"/>
      <c r="K520" s="655"/>
      <c r="L520" s="655"/>
      <c r="M520" s="655"/>
      <c r="N520" s="655"/>
      <c r="O520" s="655"/>
      <c r="P520" s="655"/>
      <c r="Q520" s="655"/>
      <c r="R520" s="655"/>
      <c r="S520" s="655"/>
      <c r="T520" s="655"/>
      <c r="U520" s="655"/>
      <c r="V520" s="655"/>
      <c r="W520" s="655"/>
      <c r="X520" s="655"/>
      <c r="Y520" s="655"/>
      <c r="Z520" s="655"/>
      <c r="AA520" s="655"/>
      <c r="AB520" s="655"/>
      <c r="AC520" s="655"/>
      <c r="AD520" s="655"/>
      <c r="AE520" s="655"/>
      <c r="AF520" s="655"/>
      <c r="AG520" s="655"/>
      <c r="AH520" s="655"/>
      <c r="AI520" s="655"/>
      <c r="AJ520" s="655"/>
      <c r="AK520" s="655"/>
      <c r="AL520" s="655"/>
      <c r="AM520" s="655"/>
    </row>
    <row r="521" spans="5:39" hidden="1">
      <c r="E521" s="54"/>
      <c r="F521" s="655"/>
      <c r="G521" s="655"/>
      <c r="H521" s="655"/>
      <c r="I521" s="655"/>
      <c r="J521" s="655"/>
      <c r="K521" s="655"/>
      <c r="L521" s="655"/>
      <c r="M521" s="655"/>
      <c r="N521" s="655"/>
      <c r="O521" s="655"/>
      <c r="P521" s="655"/>
      <c r="Q521" s="655"/>
      <c r="R521" s="655"/>
      <c r="S521" s="655"/>
      <c r="T521" s="655"/>
      <c r="U521" s="655"/>
      <c r="V521" s="655"/>
      <c r="W521" s="655"/>
      <c r="X521" s="655"/>
      <c r="Y521" s="655"/>
      <c r="Z521" s="655"/>
      <c r="AA521" s="655"/>
      <c r="AB521" s="655"/>
      <c r="AC521" s="655"/>
      <c r="AD521" s="655"/>
      <c r="AE521" s="655"/>
      <c r="AF521" s="655"/>
      <c r="AG521" s="655"/>
      <c r="AH521" s="655"/>
      <c r="AI521" s="655"/>
      <c r="AJ521" s="655"/>
      <c r="AK521" s="655"/>
      <c r="AL521" s="655"/>
      <c r="AM521" s="655"/>
    </row>
    <row r="522" spans="5:39" hidden="1">
      <c r="E522" s="54"/>
      <c r="F522" s="655"/>
      <c r="G522" s="655"/>
      <c r="H522" s="655"/>
      <c r="I522" s="655"/>
      <c r="J522" s="655"/>
      <c r="K522" s="655"/>
      <c r="L522" s="655"/>
      <c r="M522" s="655"/>
      <c r="N522" s="655"/>
      <c r="O522" s="655"/>
      <c r="P522" s="655"/>
      <c r="Q522" s="655"/>
      <c r="R522" s="655"/>
      <c r="S522" s="655"/>
      <c r="T522" s="655"/>
      <c r="U522" s="655"/>
      <c r="V522" s="655"/>
      <c r="W522" s="655"/>
      <c r="X522" s="655"/>
      <c r="Y522" s="655"/>
      <c r="Z522" s="655"/>
      <c r="AA522" s="655"/>
      <c r="AB522" s="655"/>
      <c r="AC522" s="655"/>
      <c r="AD522" s="655"/>
      <c r="AE522" s="655"/>
      <c r="AF522" s="655"/>
      <c r="AG522" s="655"/>
      <c r="AH522" s="655"/>
      <c r="AI522" s="655"/>
      <c r="AJ522" s="655"/>
      <c r="AK522" s="655"/>
      <c r="AL522" s="655"/>
      <c r="AM522" s="655"/>
    </row>
    <row r="523" spans="5:39" hidden="1">
      <c r="E523" s="54"/>
      <c r="F523" s="655"/>
      <c r="G523" s="655"/>
      <c r="H523" s="655"/>
      <c r="I523" s="655"/>
      <c r="J523" s="655"/>
      <c r="K523" s="655"/>
      <c r="L523" s="655"/>
      <c r="M523" s="655"/>
      <c r="N523" s="655"/>
      <c r="O523" s="655"/>
      <c r="P523" s="655"/>
      <c r="Q523" s="655"/>
      <c r="R523" s="655"/>
      <c r="S523" s="655"/>
      <c r="T523" s="655"/>
      <c r="U523" s="655"/>
      <c r="V523" s="655"/>
      <c r="W523" s="655"/>
      <c r="X523" s="655"/>
      <c r="Y523" s="655"/>
      <c r="Z523" s="655"/>
      <c r="AA523" s="655"/>
      <c r="AB523" s="655"/>
      <c r="AC523" s="655"/>
      <c r="AD523" s="655"/>
      <c r="AE523" s="655"/>
      <c r="AF523" s="655"/>
      <c r="AG523" s="655"/>
      <c r="AH523" s="655"/>
      <c r="AI523" s="655"/>
      <c r="AJ523" s="655"/>
      <c r="AK523" s="655"/>
      <c r="AL523" s="655"/>
      <c r="AM523" s="655"/>
    </row>
    <row r="524" spans="5:39" ht="14.1" customHeight="1">
      <c r="E524" s="54"/>
      <c r="F524" s="569" t="s">
        <v>1355</v>
      </c>
      <c r="G524" s="569"/>
      <c r="H524" s="569"/>
      <c r="I524" s="569"/>
      <c r="J524" s="569"/>
      <c r="K524" s="569"/>
      <c r="L524" s="569"/>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69"/>
      <c r="AL524" s="569"/>
      <c r="AM524" s="273"/>
    </row>
    <row r="525" spans="5:39">
      <c r="E525" s="54"/>
      <c r="F525" s="569"/>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69"/>
      <c r="AL525" s="569"/>
      <c r="AM525" s="273"/>
    </row>
    <row r="526" spans="5:39">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4"/>
      <c r="AL526" s="54"/>
      <c r="AM526" s="54"/>
    </row>
    <row r="527" spans="5:39" ht="14.1" customHeight="1">
      <c r="E527" s="54"/>
      <c r="F527" s="569" t="s">
        <v>150</v>
      </c>
      <c r="G527" s="56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69"/>
      <c r="AL527" s="569"/>
      <c r="AM527" s="249"/>
    </row>
    <row r="528" spans="5:39">
      <c r="E528" s="54"/>
      <c r="F528" s="569"/>
      <c r="G528" s="569"/>
      <c r="H528" s="569"/>
      <c r="I528" s="569"/>
      <c r="J528" s="569"/>
      <c r="K528" s="569"/>
      <c r="L528" s="569"/>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69"/>
      <c r="AL528" s="569"/>
      <c r="AM528" s="249"/>
    </row>
    <row r="529" spans="1:39">
      <c r="E529" s="54"/>
      <c r="F529" s="569"/>
      <c r="G529" s="569"/>
      <c r="H529" s="569"/>
      <c r="I529" s="569"/>
      <c r="J529" s="569"/>
      <c r="K529" s="569"/>
      <c r="L529" s="569"/>
      <c r="M529" s="569"/>
      <c r="N529" s="569"/>
      <c r="O529" s="569"/>
      <c r="P529" s="569"/>
      <c r="Q529" s="569"/>
      <c r="R529" s="569"/>
      <c r="S529" s="569"/>
      <c r="T529" s="569"/>
      <c r="U529" s="569"/>
      <c r="V529" s="569"/>
      <c r="W529" s="569"/>
      <c r="X529" s="569"/>
      <c r="Y529" s="569"/>
      <c r="Z529" s="569"/>
      <c r="AA529" s="569"/>
      <c r="AB529" s="569"/>
      <c r="AC529" s="569"/>
      <c r="AD529" s="569"/>
      <c r="AE529" s="569"/>
      <c r="AF529" s="569"/>
      <c r="AG529" s="569"/>
      <c r="AH529" s="569"/>
      <c r="AI529" s="569"/>
      <c r="AJ529" s="569"/>
      <c r="AK529" s="569"/>
      <c r="AL529" s="569"/>
      <c r="AM529" s="249"/>
    </row>
    <row r="530" spans="1:39">
      <c r="E530" s="54"/>
      <c r="F530" s="569"/>
      <c r="G530" s="569"/>
      <c r="H530" s="569"/>
      <c r="I530" s="569"/>
      <c r="J530" s="569"/>
      <c r="K530" s="569"/>
      <c r="L530" s="569"/>
      <c r="M530" s="569"/>
      <c r="N530" s="569"/>
      <c r="O530" s="569"/>
      <c r="P530" s="569"/>
      <c r="Q530" s="569"/>
      <c r="R530" s="569"/>
      <c r="S530" s="569"/>
      <c r="T530" s="569"/>
      <c r="U530" s="569"/>
      <c r="V530" s="569"/>
      <c r="W530" s="569"/>
      <c r="X530" s="569"/>
      <c r="Y530" s="569"/>
      <c r="Z530" s="569"/>
      <c r="AA530" s="569"/>
      <c r="AB530" s="569"/>
      <c r="AC530" s="569"/>
      <c r="AD530" s="569"/>
      <c r="AE530" s="569"/>
      <c r="AF530" s="569"/>
      <c r="AG530" s="569"/>
      <c r="AH530" s="569"/>
      <c r="AI530" s="569"/>
      <c r="AJ530" s="569"/>
      <c r="AK530" s="569"/>
      <c r="AL530" s="569"/>
      <c r="AM530" s="249"/>
    </row>
    <row r="531" spans="1:39">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54"/>
      <c r="AM531" s="54"/>
    </row>
    <row r="532" spans="1:39" s="231" customFormat="1" ht="14.1" customHeight="1">
      <c r="A532" s="1"/>
      <c r="B532" s="1"/>
      <c r="C532" s="2"/>
      <c r="D532" s="1">
        <v>2</v>
      </c>
      <c r="E532" s="248"/>
      <c r="F532" s="276" t="s">
        <v>1461</v>
      </c>
      <c r="G532" s="55"/>
      <c r="H532" s="661" t="s">
        <v>151</v>
      </c>
      <c r="I532" s="661"/>
      <c r="J532" s="661"/>
      <c r="K532" s="661"/>
      <c r="L532" s="661"/>
      <c r="M532" s="661"/>
      <c r="N532" s="661"/>
      <c r="O532" s="661"/>
      <c r="P532" s="661"/>
      <c r="Q532" s="661"/>
      <c r="R532" s="661"/>
      <c r="S532" s="661"/>
      <c r="T532" s="661"/>
      <c r="U532" s="661"/>
      <c r="V532" s="661"/>
      <c r="W532" s="661"/>
      <c r="X532" s="661"/>
      <c r="Y532" s="661"/>
      <c r="Z532" s="661"/>
      <c r="AA532" s="661"/>
      <c r="AB532" s="661"/>
      <c r="AC532" s="661"/>
      <c r="AD532" s="661"/>
      <c r="AE532" s="661"/>
      <c r="AF532" s="661"/>
      <c r="AG532" s="661"/>
      <c r="AH532" s="661"/>
      <c r="AI532" s="661"/>
      <c r="AJ532" s="661"/>
      <c r="AK532" s="661"/>
      <c r="AL532" s="661"/>
      <c r="AM532" s="55"/>
    </row>
    <row r="533" spans="1:39" ht="14.1" customHeight="1">
      <c r="E533" s="54"/>
      <c r="F533" s="569" t="s">
        <v>152</v>
      </c>
      <c r="G533" s="569"/>
      <c r="H533" s="569"/>
      <c r="I533" s="569"/>
      <c r="J533" s="569"/>
      <c r="K533" s="569"/>
      <c r="L533" s="569"/>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69"/>
      <c r="AL533" s="569"/>
      <c r="AM533" s="249"/>
    </row>
    <row r="534" spans="1:39">
      <c r="E534" s="54"/>
      <c r="F534" s="569"/>
      <c r="G534" s="569"/>
      <c r="H534" s="569"/>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69"/>
      <c r="AL534" s="569"/>
      <c r="AM534" s="249"/>
    </row>
    <row r="535" spans="1:39">
      <c r="E535" s="54"/>
      <c r="F535" s="569"/>
      <c r="G535" s="56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69"/>
      <c r="AL535" s="569"/>
      <c r="AM535" s="249"/>
    </row>
    <row r="536" spans="1:39">
      <c r="E536" s="54"/>
      <c r="F536" s="569"/>
      <c r="G536" s="569"/>
      <c r="H536" s="569"/>
      <c r="I536" s="569"/>
      <c r="J536" s="569"/>
      <c r="K536" s="569"/>
      <c r="L536" s="569"/>
      <c r="M536" s="569"/>
      <c r="N536" s="569"/>
      <c r="O536" s="569"/>
      <c r="P536" s="569"/>
      <c r="Q536" s="569"/>
      <c r="R536" s="569"/>
      <c r="S536" s="569"/>
      <c r="T536" s="569"/>
      <c r="U536" s="569"/>
      <c r="V536" s="569"/>
      <c r="W536" s="569"/>
      <c r="X536" s="569"/>
      <c r="Y536" s="569"/>
      <c r="Z536" s="569"/>
      <c r="AA536" s="569"/>
      <c r="AB536" s="569"/>
      <c r="AC536" s="569"/>
      <c r="AD536" s="569"/>
      <c r="AE536" s="569"/>
      <c r="AF536" s="569"/>
      <c r="AG536" s="569"/>
      <c r="AH536" s="569"/>
      <c r="AI536" s="569"/>
      <c r="AJ536" s="569"/>
      <c r="AK536" s="569"/>
      <c r="AL536" s="569"/>
      <c r="AM536" s="249"/>
    </row>
    <row r="537" spans="1:39">
      <c r="E537" s="54"/>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69"/>
      <c r="AL537" s="569"/>
      <c r="AM537" s="249"/>
    </row>
    <row r="538" spans="1:39" ht="14.1" customHeight="1">
      <c r="E538" s="54"/>
      <c r="F538" s="569" t="s">
        <v>153</v>
      </c>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69"/>
      <c r="AL538" s="569"/>
      <c r="AM538" s="249"/>
    </row>
    <row r="539" spans="1:39" s="361" customFormat="1" ht="14.1" customHeight="1">
      <c r="A539" s="1"/>
      <c r="B539" s="1"/>
      <c r="C539" s="2"/>
      <c r="D539" s="1"/>
      <c r="E539" s="363"/>
      <c r="F539" s="354"/>
      <c r="G539" s="354"/>
      <c r="H539" s="354"/>
      <c r="I539" s="354"/>
      <c r="J539" s="354"/>
      <c r="K539" s="354"/>
      <c r="L539" s="354"/>
      <c r="M539" s="354"/>
      <c r="N539" s="354"/>
      <c r="O539" s="354"/>
      <c r="P539" s="354"/>
      <c r="Q539" s="354"/>
      <c r="R539" s="354"/>
      <c r="S539" s="354"/>
      <c r="T539" s="354"/>
      <c r="U539" s="354"/>
      <c r="V539" s="354"/>
      <c r="W539" s="354"/>
      <c r="X539" s="354"/>
      <c r="Y539" s="354"/>
      <c r="Z539" s="354"/>
      <c r="AA539" s="354"/>
      <c r="AB539" s="354"/>
      <c r="AC539" s="354"/>
      <c r="AD539" s="354"/>
      <c r="AE539" s="354"/>
      <c r="AF539" s="354"/>
      <c r="AG539" s="354"/>
      <c r="AH539" s="354"/>
      <c r="AI539" s="354"/>
      <c r="AJ539" s="354"/>
      <c r="AK539" s="354"/>
      <c r="AL539" s="354"/>
      <c r="AM539" s="360"/>
    </row>
    <row r="540" spans="1:39" s="361" customFormat="1" ht="14.1" customHeight="1">
      <c r="A540" s="1"/>
      <c r="B540" s="1"/>
      <c r="C540" s="2"/>
      <c r="D540" s="1"/>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358" t="s">
        <v>24</v>
      </c>
      <c r="AK540" s="612">
        <v>8</v>
      </c>
      <c r="AL540" s="612"/>
      <c r="AM540" s="358" t="s">
        <v>24</v>
      </c>
    </row>
    <row r="541" spans="1:39" s="361" customFormat="1" ht="14.1" customHeight="1">
      <c r="A541" s="1"/>
      <c r="B541" s="1"/>
      <c r="C541" s="2"/>
      <c r="D541" s="1"/>
      <c r="E541" s="366"/>
      <c r="F541" s="366"/>
      <c r="G541" s="366"/>
      <c r="H541" s="366"/>
      <c r="I541" s="366"/>
      <c r="J541" s="366"/>
      <c r="K541" s="366"/>
      <c r="L541" s="366"/>
      <c r="M541" s="366"/>
      <c r="N541" s="366"/>
      <c r="O541" s="366"/>
      <c r="P541" s="366"/>
      <c r="Q541" s="366"/>
      <c r="R541" s="366"/>
      <c r="S541" s="366"/>
      <c r="T541" s="366"/>
      <c r="U541" s="366"/>
      <c r="V541" s="366"/>
      <c r="W541" s="366"/>
      <c r="X541" s="366"/>
      <c r="Y541" s="366"/>
      <c r="Z541" s="366"/>
      <c r="AA541" s="366"/>
      <c r="AB541" s="366"/>
      <c r="AC541" s="366"/>
      <c r="AD541" s="366"/>
      <c r="AE541" s="366"/>
      <c r="AF541" s="366"/>
      <c r="AG541" s="366"/>
      <c r="AH541" s="366"/>
      <c r="AI541" s="366"/>
      <c r="AJ541" s="362"/>
      <c r="AK541" s="362"/>
      <c r="AL541" s="362"/>
      <c r="AM541" s="362"/>
    </row>
    <row r="542" spans="1:39" s="361" customFormat="1" ht="14.1" customHeight="1">
      <c r="A542" s="1"/>
      <c r="B542" s="1"/>
      <c r="C542" s="2"/>
      <c r="D542" s="1"/>
      <c r="E542" s="376" t="str">
        <f>UPPER($Y$28)</f>
        <v>ПТ ЛОМБАРД "МЕРКУРІЙ"</v>
      </c>
      <c r="F542" s="376"/>
      <c r="G542" s="376"/>
      <c r="H542" s="376"/>
      <c r="I542" s="376"/>
      <c r="J542" s="376"/>
      <c r="K542" s="376"/>
      <c r="L542" s="376"/>
      <c r="M542" s="376"/>
      <c r="N542" s="376"/>
      <c r="O542" s="376"/>
      <c r="P542" s="376"/>
      <c r="Q542" s="376"/>
      <c r="R542" s="376"/>
      <c r="S542" s="376"/>
      <c r="T542" s="376"/>
      <c r="U542" s="376"/>
      <c r="V542" s="376"/>
      <c r="W542" s="376"/>
      <c r="X542" s="376"/>
      <c r="Y542" s="376"/>
      <c r="Z542" s="376"/>
      <c r="AA542" s="376"/>
      <c r="AB542" s="376"/>
      <c r="AC542" s="376"/>
      <c r="AD542" s="376"/>
      <c r="AE542" s="376"/>
      <c r="AF542" s="376"/>
      <c r="AG542" s="376"/>
      <c r="AH542" s="376"/>
      <c r="AI542" s="376"/>
      <c r="AJ542" s="376"/>
      <c r="AK542" s="376"/>
      <c r="AL542" s="376"/>
      <c r="AM542" s="376"/>
    </row>
    <row r="543" spans="1:39" s="361" customFormat="1" ht="14.1" customHeight="1">
      <c r="A543" s="1"/>
      <c r="B543" s="1"/>
      <c r="C543" s="2"/>
      <c r="D543" s="1"/>
      <c r="E543" s="269" t="s">
        <v>143</v>
      </c>
      <c r="F543" s="269"/>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row>
    <row r="544" spans="1:39" s="361" customFormat="1" ht="14.1" customHeight="1">
      <c r="A544" s="1"/>
      <c r="B544" s="1"/>
      <c r="C544" s="2"/>
      <c r="D544" s="1"/>
      <c r="E544" s="269" t="str">
        <f>$E$274</f>
        <v>ЗА РІК, ЩО ЗАКІНЧИВСЯ 31 ГРУДНЯ 2020 РОКУ</v>
      </c>
      <c r="F544" s="269"/>
      <c r="G544" s="269"/>
      <c r="H544" s="269"/>
      <c r="I544" s="269"/>
      <c r="J544" s="269"/>
      <c r="K544" s="269"/>
      <c r="L544" s="269"/>
      <c r="M544" s="269"/>
      <c r="N544" s="269"/>
      <c r="O544" s="269"/>
      <c r="P544" s="269"/>
      <c r="Q544" s="269"/>
      <c r="R544" s="269"/>
      <c r="S544" s="269"/>
      <c r="T544" s="269"/>
      <c r="U544" s="269"/>
      <c r="V544" s="269"/>
      <c r="W544" s="269"/>
      <c r="X544" s="269"/>
      <c r="Y544" s="269"/>
      <c r="Z544" s="269"/>
      <c r="AA544" s="269"/>
      <c r="AB544" s="269"/>
      <c r="AC544" s="269"/>
      <c r="AD544" s="269"/>
      <c r="AE544" s="269"/>
      <c r="AF544" s="269"/>
      <c r="AG544" s="269"/>
      <c r="AH544" s="269"/>
      <c r="AI544" s="269"/>
      <c r="AJ544" s="269"/>
      <c r="AK544" s="269"/>
      <c r="AL544" s="269"/>
      <c r="AM544" s="269"/>
    </row>
    <row r="545" spans="1:39" s="361" customFormat="1" ht="14.1" customHeight="1">
      <c r="A545" s="1"/>
      <c r="B545" s="1"/>
      <c r="C545" s="2"/>
      <c r="D545" s="1"/>
      <c r="E545" s="244" t="str">
        <f>$E$209</f>
        <v>(в тисячах гривень, якщо не вказано інше)</v>
      </c>
      <c r="F545" s="244"/>
      <c r="G545" s="244"/>
      <c r="H545" s="244"/>
      <c r="I545" s="244"/>
      <c r="J545" s="244"/>
      <c r="K545" s="244"/>
      <c r="L545" s="244"/>
      <c r="M545" s="244"/>
      <c r="N545" s="244"/>
      <c r="O545" s="244"/>
      <c r="P545" s="244"/>
      <c r="Q545" s="244"/>
      <c r="R545" s="244"/>
      <c r="S545" s="244"/>
      <c r="T545" s="244"/>
      <c r="U545" s="244"/>
      <c r="V545" s="244"/>
      <c r="W545" s="244"/>
      <c r="X545" s="244"/>
      <c r="Y545" s="244"/>
      <c r="Z545" s="244"/>
      <c r="AA545" s="244"/>
      <c r="AB545" s="244"/>
      <c r="AC545" s="244"/>
      <c r="AD545" s="244"/>
      <c r="AE545" s="244"/>
      <c r="AF545" s="244"/>
      <c r="AG545" s="244"/>
      <c r="AH545" s="244"/>
      <c r="AI545" s="244"/>
      <c r="AJ545" s="244"/>
      <c r="AK545" s="244"/>
      <c r="AL545" s="244"/>
      <c r="AM545" s="244"/>
    </row>
    <row r="546" spans="1:39" s="361" customFormat="1" ht="14.1" customHeight="1">
      <c r="A546" s="1"/>
      <c r="B546" s="1"/>
      <c r="C546" s="2"/>
      <c r="D546" s="1"/>
      <c r="E546" s="366"/>
      <c r="F546" s="366"/>
      <c r="G546" s="366"/>
      <c r="H546" s="366"/>
      <c r="I546" s="366"/>
      <c r="J546" s="366"/>
      <c r="K546" s="366"/>
      <c r="L546" s="366"/>
      <c r="M546" s="366"/>
      <c r="N546" s="366"/>
      <c r="O546" s="366"/>
      <c r="P546" s="366"/>
      <c r="Q546" s="366"/>
      <c r="R546" s="366"/>
      <c r="S546" s="366"/>
      <c r="T546" s="366"/>
      <c r="U546" s="366"/>
      <c r="V546" s="366"/>
      <c r="W546" s="366"/>
      <c r="X546" s="366"/>
      <c r="Y546" s="366"/>
      <c r="Z546" s="366"/>
      <c r="AA546" s="366"/>
      <c r="AB546" s="366"/>
      <c r="AC546" s="366"/>
      <c r="AD546" s="366"/>
      <c r="AE546" s="366"/>
      <c r="AF546" s="366"/>
      <c r="AG546" s="366"/>
      <c r="AH546" s="366"/>
      <c r="AI546" s="366"/>
      <c r="AJ546" s="362"/>
      <c r="AK546" s="362"/>
      <c r="AL546" s="362"/>
      <c r="AM546" s="362"/>
    </row>
    <row r="547" spans="1:39" s="96" customFormat="1">
      <c r="A547" s="1"/>
      <c r="B547" s="1"/>
      <c r="C547" s="2"/>
      <c r="D547" s="1"/>
      <c r="E547" s="94"/>
      <c r="F547" s="655" t="s">
        <v>154</v>
      </c>
      <c r="G547" s="655"/>
      <c r="H547" s="655"/>
      <c r="I547" s="655"/>
      <c r="J547" s="655"/>
      <c r="K547" s="655"/>
      <c r="L547" s="655"/>
      <c r="M547" s="655"/>
      <c r="N547" s="655"/>
      <c r="O547" s="655"/>
      <c r="P547" s="655"/>
      <c r="Q547" s="655"/>
      <c r="R547" s="655"/>
      <c r="S547" s="655"/>
      <c r="T547" s="655"/>
      <c r="U547" s="655"/>
      <c r="V547" s="655"/>
      <c r="W547" s="655"/>
      <c r="X547" s="655"/>
      <c r="Y547" s="655"/>
      <c r="Z547" s="655"/>
      <c r="AA547" s="655"/>
      <c r="AB547" s="655"/>
      <c r="AC547" s="655"/>
      <c r="AD547" s="655"/>
      <c r="AE547" s="655"/>
      <c r="AF547" s="655"/>
      <c r="AG547" s="655"/>
      <c r="AH547" s="655"/>
      <c r="AI547" s="655"/>
      <c r="AJ547" s="655"/>
      <c r="AK547" s="655"/>
      <c r="AL547" s="655"/>
      <c r="AM547" s="655"/>
    </row>
    <row r="548" spans="1:39" s="96" customFormat="1" ht="15" customHeight="1">
      <c r="A548" s="1"/>
      <c r="B548" s="1"/>
      <c r="C548" s="2"/>
      <c r="D548" s="1"/>
      <c r="E548" s="94"/>
      <c r="F548" s="56" t="s">
        <v>24</v>
      </c>
      <c r="G548" s="569" t="s">
        <v>155</v>
      </c>
      <c r="H548" s="569"/>
      <c r="I548" s="569"/>
      <c r="J548" s="569"/>
      <c r="K548" s="569"/>
      <c r="L548" s="569"/>
      <c r="M548" s="569"/>
      <c r="N548" s="569"/>
      <c r="O548" s="569"/>
      <c r="P548" s="569"/>
      <c r="Q548" s="569"/>
      <c r="R548" s="569"/>
      <c r="S548" s="569"/>
      <c r="T548" s="569"/>
      <c r="U548" s="569"/>
      <c r="V548" s="569"/>
      <c r="W548" s="569"/>
      <c r="X548" s="569"/>
      <c r="Y548" s="569"/>
      <c r="Z548" s="569"/>
      <c r="AA548" s="569"/>
      <c r="AB548" s="569"/>
      <c r="AC548" s="569"/>
      <c r="AD548" s="569"/>
      <c r="AE548" s="569"/>
      <c r="AF548" s="569"/>
      <c r="AG548" s="569"/>
      <c r="AH548" s="569"/>
      <c r="AI548" s="569"/>
      <c r="AJ548" s="569"/>
      <c r="AK548" s="569"/>
      <c r="AL548" s="569"/>
      <c r="AM548" s="249"/>
    </row>
    <row r="549" spans="1:39" s="96" customFormat="1">
      <c r="A549" s="1"/>
      <c r="B549" s="1"/>
      <c r="C549" s="2"/>
      <c r="D549" s="1"/>
      <c r="E549" s="94"/>
      <c r="F549" s="54"/>
      <c r="G549" s="569"/>
      <c r="H549" s="569"/>
      <c r="I549" s="569"/>
      <c r="J549" s="569"/>
      <c r="K549" s="569"/>
      <c r="L549" s="569"/>
      <c r="M549" s="569"/>
      <c r="N549" s="569"/>
      <c r="O549" s="569"/>
      <c r="P549" s="569"/>
      <c r="Q549" s="569"/>
      <c r="R549" s="569"/>
      <c r="S549" s="569"/>
      <c r="T549" s="569"/>
      <c r="U549" s="569"/>
      <c r="V549" s="569"/>
      <c r="W549" s="569"/>
      <c r="X549" s="569"/>
      <c r="Y549" s="569"/>
      <c r="Z549" s="569"/>
      <c r="AA549" s="569"/>
      <c r="AB549" s="569"/>
      <c r="AC549" s="569"/>
      <c r="AD549" s="569"/>
      <c r="AE549" s="569"/>
      <c r="AF549" s="569"/>
      <c r="AG549" s="569"/>
      <c r="AH549" s="569"/>
      <c r="AI549" s="569"/>
      <c r="AJ549" s="569"/>
      <c r="AK549" s="569"/>
      <c r="AL549" s="569"/>
      <c r="AM549" s="249"/>
    </row>
    <row r="550" spans="1:39" ht="15" customHeight="1">
      <c r="E550" s="54"/>
      <c r="F550" s="56" t="s">
        <v>24</v>
      </c>
      <c r="G550" s="569" t="s">
        <v>156</v>
      </c>
      <c r="H550" s="569"/>
      <c r="I550" s="569"/>
      <c r="J550" s="569"/>
      <c r="K550" s="569"/>
      <c r="L550" s="569"/>
      <c r="M550" s="569"/>
      <c r="N550" s="569"/>
      <c r="O550" s="569"/>
      <c r="P550" s="569"/>
      <c r="Q550" s="569"/>
      <c r="R550" s="569"/>
      <c r="S550" s="569"/>
      <c r="T550" s="569"/>
      <c r="U550" s="569"/>
      <c r="V550" s="569"/>
      <c r="W550" s="569"/>
      <c r="X550" s="569"/>
      <c r="Y550" s="569"/>
      <c r="Z550" s="569"/>
      <c r="AA550" s="569"/>
      <c r="AB550" s="569"/>
      <c r="AC550" s="569"/>
      <c r="AD550" s="569"/>
      <c r="AE550" s="569"/>
      <c r="AF550" s="569"/>
      <c r="AG550" s="569"/>
      <c r="AH550" s="569"/>
      <c r="AI550" s="569"/>
      <c r="AJ550" s="569"/>
      <c r="AK550" s="569"/>
      <c r="AL550" s="569"/>
      <c r="AM550" s="249"/>
    </row>
    <row r="551" spans="1:39" s="96" customFormat="1" ht="15" customHeight="1">
      <c r="A551" s="1"/>
      <c r="B551" s="1"/>
      <c r="C551" s="2"/>
      <c r="D551" s="1"/>
      <c r="E551" s="94"/>
      <c r="F551" s="56" t="s">
        <v>24</v>
      </c>
      <c r="G551" s="569" t="s">
        <v>1449</v>
      </c>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69"/>
      <c r="AL551" s="569"/>
      <c r="AM551" s="249"/>
    </row>
    <row r="552" spans="1:39" s="96" customFormat="1">
      <c r="A552" s="1"/>
      <c r="B552" s="1"/>
      <c r="C552" s="2"/>
      <c r="D552" s="1"/>
      <c r="E552" s="94"/>
      <c r="F552" s="54"/>
      <c r="G552" s="569"/>
      <c r="H552" s="569"/>
      <c r="I552" s="569"/>
      <c r="J552" s="569"/>
      <c r="K552" s="569"/>
      <c r="L552" s="569"/>
      <c r="M552" s="569"/>
      <c r="N552" s="569"/>
      <c r="O552" s="569"/>
      <c r="P552" s="569"/>
      <c r="Q552" s="569"/>
      <c r="R552" s="569"/>
      <c r="S552" s="569"/>
      <c r="T552" s="569"/>
      <c r="U552" s="569"/>
      <c r="V552" s="569"/>
      <c r="W552" s="569"/>
      <c r="X552" s="569"/>
      <c r="Y552" s="569"/>
      <c r="Z552" s="569"/>
      <c r="AA552" s="569"/>
      <c r="AB552" s="569"/>
      <c r="AC552" s="569"/>
      <c r="AD552" s="569"/>
      <c r="AE552" s="569"/>
      <c r="AF552" s="569"/>
      <c r="AG552" s="569"/>
      <c r="AH552" s="569"/>
      <c r="AI552" s="569"/>
      <c r="AJ552" s="569"/>
      <c r="AK552" s="569"/>
      <c r="AL552" s="569"/>
      <c r="AM552" s="249"/>
    </row>
    <row r="553" spans="1:39" s="96" customFormat="1">
      <c r="A553" s="1"/>
      <c r="B553" s="1"/>
      <c r="C553" s="2"/>
      <c r="D553" s="1"/>
      <c r="E553" s="94"/>
      <c r="F553" s="54"/>
      <c r="G553" s="569"/>
      <c r="H553" s="569"/>
      <c r="I553" s="569"/>
      <c r="J553" s="569"/>
      <c r="K553" s="569"/>
      <c r="L553" s="569"/>
      <c r="M553" s="569"/>
      <c r="N553" s="569"/>
      <c r="O553" s="569"/>
      <c r="P553" s="569"/>
      <c r="Q553" s="569"/>
      <c r="R553" s="569"/>
      <c r="S553" s="569"/>
      <c r="T553" s="569"/>
      <c r="U553" s="569"/>
      <c r="V553" s="569"/>
      <c r="W553" s="569"/>
      <c r="X553" s="569"/>
      <c r="Y553" s="569"/>
      <c r="Z553" s="569"/>
      <c r="AA553" s="569"/>
      <c r="AB553" s="569"/>
      <c r="AC553" s="569"/>
      <c r="AD553" s="569"/>
      <c r="AE553" s="569"/>
      <c r="AF553" s="569"/>
      <c r="AG553" s="569"/>
      <c r="AH553" s="569"/>
      <c r="AI553" s="569"/>
      <c r="AJ553" s="569"/>
      <c r="AK553" s="569"/>
      <c r="AL553" s="569"/>
      <c r="AM553" s="249"/>
    </row>
    <row r="554" spans="1:39" s="96" customFormat="1" ht="15" customHeight="1">
      <c r="A554" s="1"/>
      <c r="B554" s="1"/>
      <c r="C554" s="2"/>
      <c r="D554" s="1"/>
      <c r="E554" s="94"/>
      <c r="F554" s="56" t="s">
        <v>24</v>
      </c>
      <c r="G554" s="569" t="s">
        <v>157</v>
      </c>
      <c r="H554" s="569"/>
      <c r="I554" s="569"/>
      <c r="J554" s="569"/>
      <c r="K554" s="569"/>
      <c r="L554" s="569"/>
      <c r="M554" s="569"/>
      <c r="N554" s="569"/>
      <c r="O554" s="569"/>
      <c r="P554" s="569"/>
      <c r="Q554" s="569"/>
      <c r="R554" s="569"/>
      <c r="S554" s="569"/>
      <c r="T554" s="569"/>
      <c r="U554" s="569"/>
      <c r="V554" s="569"/>
      <c r="W554" s="569"/>
      <c r="X554" s="569"/>
      <c r="Y554" s="569"/>
      <c r="Z554" s="569"/>
      <c r="AA554" s="569"/>
      <c r="AB554" s="569"/>
      <c r="AC554" s="569"/>
      <c r="AD554" s="569"/>
      <c r="AE554" s="569"/>
      <c r="AF554" s="569"/>
      <c r="AG554" s="569"/>
      <c r="AH554" s="569"/>
      <c r="AI554" s="569"/>
      <c r="AJ554" s="569"/>
      <c r="AK554" s="569"/>
      <c r="AL554" s="569"/>
      <c r="AM554" s="249"/>
    </row>
    <row r="555" spans="1:39" s="96" customFormat="1">
      <c r="A555" s="1"/>
      <c r="B555" s="1"/>
      <c r="C555" s="2"/>
      <c r="D555" s="1"/>
      <c r="E555" s="94"/>
      <c r="F555" s="54"/>
      <c r="G555" s="569"/>
      <c r="H555" s="569"/>
      <c r="I555" s="569"/>
      <c r="J555" s="569"/>
      <c r="K555" s="569"/>
      <c r="L555" s="569"/>
      <c r="M555" s="569"/>
      <c r="N555" s="569"/>
      <c r="O555" s="569"/>
      <c r="P555" s="569"/>
      <c r="Q555" s="569"/>
      <c r="R555" s="569"/>
      <c r="S555" s="569"/>
      <c r="T555" s="569"/>
      <c r="U555" s="569"/>
      <c r="V555" s="569"/>
      <c r="W555" s="569"/>
      <c r="X555" s="569"/>
      <c r="Y555" s="569"/>
      <c r="Z555" s="569"/>
      <c r="AA555" s="569"/>
      <c r="AB555" s="569"/>
      <c r="AC555" s="569"/>
      <c r="AD555" s="569"/>
      <c r="AE555" s="569"/>
      <c r="AF555" s="569"/>
      <c r="AG555" s="569"/>
      <c r="AH555" s="569"/>
      <c r="AI555" s="569"/>
      <c r="AJ555" s="569"/>
      <c r="AK555" s="569"/>
      <c r="AL555" s="569"/>
      <c r="AM555" s="249"/>
    </row>
    <row r="556" spans="1:39" s="96" customFormat="1" ht="14.1" customHeight="1">
      <c r="A556" s="1"/>
      <c r="B556" s="1"/>
      <c r="C556" s="2"/>
      <c r="D556" s="1"/>
      <c r="E556" s="94"/>
      <c r="F556" s="569" t="s">
        <v>166</v>
      </c>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69"/>
      <c r="AL556" s="569"/>
      <c r="AM556" s="249"/>
    </row>
    <row r="557" spans="1:39" s="96" customFormat="1">
      <c r="A557" s="1"/>
      <c r="B557" s="1"/>
      <c r="C557" s="2"/>
      <c r="D557" s="1"/>
      <c r="E557" s="94"/>
      <c r="F557" s="569"/>
      <c r="G557" s="569"/>
      <c r="H557" s="569"/>
      <c r="I557" s="569"/>
      <c r="J557" s="569"/>
      <c r="K557" s="569"/>
      <c r="L557" s="569"/>
      <c r="M557" s="569"/>
      <c r="N557" s="569"/>
      <c r="O557" s="569"/>
      <c r="P557" s="569"/>
      <c r="Q557" s="569"/>
      <c r="R557" s="569"/>
      <c r="S557" s="569"/>
      <c r="T557" s="569"/>
      <c r="U557" s="569"/>
      <c r="V557" s="569"/>
      <c r="W557" s="569"/>
      <c r="X557" s="569"/>
      <c r="Y557" s="569"/>
      <c r="Z557" s="569"/>
      <c r="AA557" s="569"/>
      <c r="AB557" s="569"/>
      <c r="AC557" s="569"/>
      <c r="AD557" s="569"/>
      <c r="AE557" s="569"/>
      <c r="AF557" s="569"/>
      <c r="AG557" s="569"/>
      <c r="AH557" s="569"/>
      <c r="AI557" s="569"/>
      <c r="AJ557" s="569"/>
      <c r="AK557" s="569"/>
      <c r="AL557" s="569"/>
      <c r="AM557" s="249"/>
    </row>
    <row r="558" spans="1:39" s="96" customFormat="1">
      <c r="A558" s="1"/>
      <c r="B558" s="1"/>
      <c r="C558" s="2"/>
      <c r="D558" s="1"/>
      <c r="E558" s="94"/>
      <c r="F558" s="569"/>
      <c r="G558" s="569"/>
      <c r="H558" s="569"/>
      <c r="I558" s="569"/>
      <c r="J558" s="569"/>
      <c r="K558" s="569"/>
      <c r="L558" s="569"/>
      <c r="M558" s="569"/>
      <c r="N558" s="569"/>
      <c r="O558" s="569"/>
      <c r="P558" s="569"/>
      <c r="Q558" s="569"/>
      <c r="R558" s="569"/>
      <c r="S558" s="569"/>
      <c r="T558" s="569"/>
      <c r="U558" s="569"/>
      <c r="V558" s="569"/>
      <c r="W558" s="569"/>
      <c r="X558" s="569"/>
      <c r="Y558" s="569"/>
      <c r="Z558" s="569"/>
      <c r="AA558" s="569"/>
      <c r="AB558" s="569"/>
      <c r="AC558" s="569"/>
      <c r="AD558" s="569"/>
      <c r="AE558" s="569"/>
      <c r="AF558" s="569"/>
      <c r="AG558" s="569"/>
      <c r="AH558" s="569"/>
      <c r="AI558" s="569"/>
      <c r="AJ558" s="569"/>
      <c r="AK558" s="569"/>
      <c r="AL558" s="569"/>
      <c r="AM558" s="249"/>
    </row>
    <row r="559" spans="1:39" s="96" customFormat="1" ht="10.5" customHeight="1">
      <c r="A559" s="1"/>
      <c r="B559" s="1"/>
      <c r="C559" s="2"/>
      <c r="D559" s="1"/>
      <c r="E559" s="94"/>
      <c r="F559" s="56"/>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row>
    <row r="560" spans="1:39" s="231" customFormat="1" ht="14.1" customHeight="1">
      <c r="A560" s="1"/>
      <c r="B560" s="1"/>
      <c r="C560" s="2"/>
      <c r="D560" s="1"/>
      <c r="E560" s="248"/>
      <c r="F560" s="276" t="s">
        <v>1359</v>
      </c>
      <c r="G560" s="276"/>
      <c r="H560" s="661" t="s">
        <v>46</v>
      </c>
      <c r="I560" s="661"/>
      <c r="J560" s="661"/>
      <c r="K560" s="661"/>
      <c r="L560" s="661"/>
      <c r="M560" s="661"/>
      <c r="N560" s="661"/>
      <c r="O560" s="661"/>
      <c r="P560" s="661"/>
      <c r="Q560" s="661"/>
      <c r="R560" s="661"/>
      <c r="S560" s="661"/>
      <c r="T560" s="661"/>
      <c r="U560" s="661"/>
      <c r="V560" s="661"/>
      <c r="W560" s="661"/>
      <c r="X560" s="661"/>
      <c r="Y560" s="661"/>
      <c r="Z560" s="55"/>
      <c r="AA560" s="55"/>
      <c r="AB560" s="55"/>
      <c r="AC560" s="55"/>
      <c r="AD560" s="55"/>
      <c r="AE560" s="55"/>
      <c r="AF560" s="55"/>
      <c r="AG560" s="55"/>
      <c r="AH560" s="55"/>
      <c r="AI560" s="55"/>
      <c r="AJ560" s="55"/>
      <c r="AK560" s="55"/>
      <c r="AL560" s="55"/>
      <c r="AM560" s="55"/>
    </row>
    <row r="561" spans="1:39" s="96" customFormat="1" ht="14.1" customHeight="1">
      <c r="A561" s="1"/>
      <c r="B561" s="1"/>
      <c r="C561" s="2"/>
      <c r="D561" s="1"/>
      <c r="E561" s="94"/>
      <c r="F561" s="569" t="s">
        <v>167</v>
      </c>
      <c r="G561" s="569"/>
      <c r="H561" s="569"/>
      <c r="I561" s="569"/>
      <c r="J561" s="569"/>
      <c r="K561" s="569"/>
      <c r="L561" s="569"/>
      <c r="M561" s="569"/>
      <c r="N561" s="569"/>
      <c r="O561" s="569"/>
      <c r="P561" s="569"/>
      <c r="Q561" s="569"/>
      <c r="R561" s="569"/>
      <c r="S561" s="569"/>
      <c r="T561" s="569"/>
      <c r="U561" s="569"/>
      <c r="V561" s="569"/>
      <c r="W561" s="569"/>
      <c r="X561" s="569"/>
      <c r="Y561" s="569"/>
      <c r="Z561" s="569"/>
      <c r="AA561" s="569"/>
      <c r="AB561" s="569"/>
      <c r="AC561" s="569"/>
      <c r="AD561" s="569"/>
      <c r="AE561" s="569"/>
      <c r="AF561" s="569"/>
      <c r="AG561" s="569"/>
      <c r="AH561" s="569"/>
      <c r="AI561" s="569"/>
      <c r="AJ561" s="569"/>
      <c r="AK561" s="569"/>
      <c r="AL561" s="569"/>
      <c r="AM561" s="249"/>
    </row>
    <row r="562" spans="1:39" s="96" customFormat="1" ht="19.5" customHeight="1">
      <c r="A562" s="1"/>
      <c r="B562" s="1"/>
      <c r="C562" s="2"/>
      <c r="D562" s="1"/>
      <c r="E562" s="94"/>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69"/>
      <c r="AM562" s="249"/>
    </row>
    <row r="563" spans="1:39" hidden="1" outlineLevel="1">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c r="AK563" s="54"/>
      <c r="AL563" s="54"/>
      <c r="AM563" s="54"/>
    </row>
    <row r="564" spans="1:39" hidden="1" outlineLevel="1">
      <c r="F564" s="655" t="s">
        <v>158</v>
      </c>
      <c r="G564" s="655"/>
      <c r="H564" s="655"/>
      <c r="I564" s="655"/>
      <c r="J564" s="655"/>
      <c r="K564" s="655"/>
      <c r="L564" s="655"/>
      <c r="M564" s="655"/>
      <c r="N564" s="655"/>
      <c r="O564" s="655"/>
      <c r="P564" s="655"/>
      <c r="Q564" s="655"/>
      <c r="R564" s="655"/>
      <c r="S564" s="655"/>
      <c r="T564" s="655"/>
      <c r="U564" s="655"/>
      <c r="V564" s="655"/>
      <c r="W564" s="655"/>
      <c r="X564" s="655"/>
      <c r="Y564" s="655"/>
      <c r="Z564" s="655"/>
      <c r="AA564" s="655"/>
      <c r="AB564" s="655"/>
      <c r="AC564" s="655"/>
      <c r="AD564" s="655"/>
      <c r="AE564" s="655"/>
      <c r="AF564" s="655"/>
      <c r="AG564" s="655"/>
      <c r="AH564" s="655"/>
      <c r="AI564" s="655"/>
      <c r="AJ564" s="655"/>
      <c r="AK564" s="655"/>
      <c r="AL564" s="655"/>
      <c r="AM564" s="655"/>
    </row>
    <row r="565" spans="1:39" hidden="1" outlineLevel="1">
      <c r="E565" s="57"/>
      <c r="F565" s="655"/>
      <c r="G565" s="655"/>
      <c r="H565" s="655"/>
      <c r="I565" s="655"/>
      <c r="J565" s="655"/>
      <c r="K565" s="655"/>
      <c r="L565" s="655"/>
      <c r="M565" s="655"/>
      <c r="N565" s="655"/>
      <c r="O565" s="655"/>
      <c r="P565" s="655"/>
      <c r="Q565" s="655"/>
      <c r="R565" s="655"/>
      <c r="S565" s="655"/>
      <c r="T565" s="655"/>
      <c r="U565" s="655"/>
      <c r="V565" s="655"/>
      <c r="W565" s="655"/>
      <c r="X565" s="655"/>
      <c r="Y565" s="655"/>
      <c r="Z565" s="655"/>
      <c r="AA565" s="655"/>
      <c r="AB565" s="655"/>
      <c r="AC565" s="655"/>
      <c r="AD565" s="655"/>
      <c r="AE565" s="655"/>
      <c r="AF565" s="655"/>
      <c r="AG565" s="655"/>
      <c r="AH565" s="655"/>
      <c r="AI565" s="655"/>
      <c r="AJ565" s="655"/>
      <c r="AK565" s="655"/>
      <c r="AL565" s="655"/>
      <c r="AM565" s="655"/>
    </row>
    <row r="566" spans="1:39" hidden="1" outlineLevel="1">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c r="AK566" s="54"/>
      <c r="AL566" s="54"/>
      <c r="AM566" s="54"/>
    </row>
    <row r="567" spans="1:39" ht="12.75" hidden="1" customHeight="1" outlineLevel="1">
      <c r="E567" s="54"/>
      <c r="F567" s="54"/>
      <c r="G567" s="54"/>
      <c r="H567" s="54"/>
      <c r="I567" s="54"/>
      <c r="J567" s="54"/>
      <c r="K567" s="54"/>
      <c r="L567" s="54"/>
      <c r="M567" s="54"/>
      <c r="N567" s="54"/>
      <c r="O567" s="54"/>
      <c r="P567" s="54"/>
      <c r="S567" s="651" t="s">
        <v>159</v>
      </c>
      <c r="T567" s="651"/>
      <c r="U567" s="651"/>
      <c r="V567" s="651"/>
      <c r="W567" s="651"/>
      <c r="X567" s="651" t="s">
        <v>160</v>
      </c>
      <c r="Y567" s="651"/>
      <c r="Z567" s="651"/>
      <c r="AA567" s="651"/>
      <c r="AB567" s="651"/>
      <c r="AC567" s="651" t="s">
        <v>161</v>
      </c>
      <c r="AD567" s="651"/>
      <c r="AE567" s="651"/>
      <c r="AF567" s="651"/>
      <c r="AG567" s="651"/>
      <c r="AH567" s="651" t="s">
        <v>162</v>
      </c>
      <c r="AI567" s="651"/>
      <c r="AJ567" s="651"/>
      <c r="AK567" s="651"/>
      <c r="AL567" s="651"/>
      <c r="AM567" s="651" t="s">
        <v>163</v>
      </c>
    </row>
    <row r="568" spans="1:39" hidden="1" outlineLevel="1">
      <c r="E568" s="54"/>
      <c r="F568" s="653" t="s">
        <v>164</v>
      </c>
      <c r="G568" s="653"/>
      <c r="H568" s="653"/>
      <c r="I568" s="653"/>
      <c r="J568" s="653"/>
      <c r="K568" s="653"/>
      <c r="L568" s="653"/>
      <c r="M568" s="653"/>
      <c r="N568" s="653"/>
      <c r="O568" s="653"/>
      <c r="P568" s="653"/>
      <c r="Q568" s="653"/>
      <c r="S568" s="652"/>
      <c r="T568" s="652"/>
      <c r="U568" s="652"/>
      <c r="V568" s="652"/>
      <c r="W568" s="652"/>
      <c r="X568" s="652"/>
      <c r="Y568" s="652"/>
      <c r="Z568" s="652"/>
      <c r="AA568" s="652"/>
      <c r="AB568" s="652"/>
      <c r="AC568" s="652"/>
      <c r="AD568" s="652"/>
      <c r="AE568" s="652"/>
      <c r="AF568" s="652"/>
      <c r="AG568" s="652"/>
      <c r="AH568" s="652"/>
      <c r="AI568" s="652"/>
      <c r="AJ568" s="652"/>
      <c r="AK568" s="652"/>
      <c r="AL568" s="652"/>
      <c r="AM568" s="652"/>
    </row>
    <row r="569" spans="1:39" hidden="1" outlineLevel="1">
      <c r="E569" s="54"/>
    </row>
    <row r="570" spans="1:39" ht="12.75" hidden="1" customHeight="1" outlineLevel="1">
      <c r="E570" s="54"/>
      <c r="F570" s="655" t="s">
        <v>165</v>
      </c>
      <c r="G570" s="655"/>
      <c r="H570" s="655"/>
      <c r="I570" s="655"/>
      <c r="J570" s="655"/>
      <c r="K570" s="655"/>
      <c r="L570" s="655"/>
      <c r="M570" s="655"/>
      <c r="N570" s="655"/>
      <c r="O570" s="655"/>
      <c r="P570" s="655"/>
      <c r="Q570" s="655"/>
      <c r="R570" s="54"/>
      <c r="S570" s="660">
        <v>7.9897</v>
      </c>
      <c r="T570" s="660"/>
      <c r="U570" s="660"/>
      <c r="V570" s="660"/>
      <c r="W570" s="660"/>
      <c r="X570" s="660">
        <v>7.9676999999999998</v>
      </c>
      <c r="Y570" s="660"/>
      <c r="Z570" s="660"/>
      <c r="AA570" s="660"/>
      <c r="AB570" s="660"/>
      <c r="AC570" s="660">
        <v>7.9617000000000004</v>
      </c>
      <c r="AD570" s="660"/>
      <c r="AE570" s="660"/>
      <c r="AF570" s="660"/>
      <c r="AG570" s="660"/>
      <c r="AH570" s="660">
        <v>7.9356</v>
      </c>
      <c r="AI570" s="660"/>
      <c r="AJ570" s="660"/>
      <c r="AK570" s="660"/>
      <c r="AL570" s="660"/>
      <c r="AM570" s="252">
        <v>7.9850000000000003</v>
      </c>
    </row>
    <row r="571" spans="1:39" hidden="1" outlineLevel="1">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c r="AK571" s="54"/>
      <c r="AL571" s="54"/>
      <c r="AM571" s="54"/>
    </row>
    <row r="572" spans="1:39" hidden="1" outlineLevel="1">
      <c r="E572" s="54"/>
      <c r="F572" s="655"/>
      <c r="G572" s="655"/>
      <c r="H572" s="655"/>
      <c r="I572" s="655"/>
      <c r="J572" s="655"/>
      <c r="K572" s="655"/>
      <c r="L572" s="655"/>
      <c r="M572" s="655"/>
      <c r="N572" s="655"/>
      <c r="O572" s="655"/>
      <c r="P572" s="655"/>
      <c r="Q572" s="655"/>
      <c r="R572" s="655"/>
      <c r="S572" s="655"/>
      <c r="T572" s="655"/>
      <c r="U572" s="655"/>
      <c r="V572" s="655"/>
      <c r="W572" s="655"/>
      <c r="X572" s="655"/>
      <c r="Y572" s="655"/>
      <c r="Z572" s="655"/>
      <c r="AA572" s="655"/>
      <c r="AB572" s="655"/>
      <c r="AC572" s="655"/>
      <c r="AD572" s="655"/>
      <c r="AE572" s="655"/>
      <c r="AF572" s="655"/>
      <c r="AG572" s="655"/>
      <c r="AH572" s="655"/>
      <c r="AI572" s="655"/>
      <c r="AJ572" s="655"/>
      <c r="AK572" s="655"/>
      <c r="AL572" s="655"/>
      <c r="AM572" s="655"/>
    </row>
    <row r="573" spans="1:39" collapsed="1">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c r="AK573" s="54"/>
      <c r="AL573" s="54"/>
      <c r="AM573" s="54"/>
    </row>
    <row r="574" spans="1:39" ht="14.1" customHeight="1">
      <c r="E574" s="54"/>
      <c r="F574" s="569" t="s">
        <v>168</v>
      </c>
      <c r="G574" s="569"/>
      <c r="H574" s="569"/>
      <c r="I574" s="569"/>
      <c r="J574" s="569"/>
      <c r="K574" s="569"/>
      <c r="L574" s="569"/>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69"/>
      <c r="AL574" s="569"/>
      <c r="AM574" s="249"/>
    </row>
    <row r="575" spans="1:39">
      <c r="E575" s="54"/>
      <c r="F575" s="569"/>
      <c r="G575" s="569"/>
      <c r="H575" s="569"/>
      <c r="I575" s="569"/>
      <c r="J575" s="569"/>
      <c r="K575" s="569"/>
      <c r="L575" s="569"/>
      <c r="M575" s="569"/>
      <c r="N575" s="569"/>
      <c r="O575" s="569"/>
      <c r="P575" s="569"/>
      <c r="Q575" s="569"/>
      <c r="R575" s="569"/>
      <c r="S575" s="569"/>
      <c r="T575" s="569"/>
      <c r="U575" s="569"/>
      <c r="V575" s="569"/>
      <c r="W575" s="569"/>
      <c r="X575" s="569"/>
      <c r="Y575" s="569"/>
      <c r="Z575" s="569"/>
      <c r="AA575" s="569"/>
      <c r="AB575" s="569"/>
      <c r="AC575" s="569"/>
      <c r="AD575" s="569"/>
      <c r="AE575" s="569"/>
      <c r="AF575" s="569"/>
      <c r="AG575" s="569"/>
      <c r="AH575" s="569"/>
      <c r="AI575" s="569"/>
      <c r="AJ575" s="569"/>
      <c r="AK575" s="569"/>
      <c r="AL575" s="569"/>
      <c r="AM575" s="249"/>
    </row>
    <row r="576" spans="1:39">
      <c r="E576" s="54"/>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69"/>
      <c r="AL576" s="569"/>
      <c r="AM576" s="249"/>
    </row>
    <row r="577" spans="5:39">
      <c r="E577" s="54"/>
      <c r="F577" s="569"/>
      <c r="G577" s="569"/>
      <c r="H577" s="569"/>
      <c r="I577" s="569"/>
      <c r="J577" s="569"/>
      <c r="K577" s="569"/>
      <c r="L577" s="569"/>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69"/>
      <c r="AL577" s="569"/>
      <c r="AM577" s="249"/>
    </row>
    <row r="578" spans="5:39">
      <c r="E578" s="54"/>
      <c r="F578" s="569"/>
      <c r="G578" s="569"/>
      <c r="H578" s="569"/>
      <c r="I578" s="569"/>
      <c r="J578" s="569"/>
      <c r="K578" s="569"/>
      <c r="L578" s="569"/>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69"/>
      <c r="AL578" s="569"/>
      <c r="AM578" s="249"/>
    </row>
    <row r="579" spans="5:39" ht="24.75" customHeight="1">
      <c r="E579" s="54"/>
      <c r="F579" s="569"/>
      <c r="G579" s="569"/>
      <c r="H579" s="569"/>
      <c r="I579" s="569"/>
      <c r="J579" s="569"/>
      <c r="K579" s="569"/>
      <c r="L579" s="569"/>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69"/>
      <c r="AL579" s="569"/>
      <c r="AM579" s="249"/>
    </row>
    <row r="580" spans="5:39">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c r="AK580" s="54"/>
      <c r="AL580" s="54"/>
      <c r="AM580" s="54"/>
    </row>
    <row r="581" spans="5:39" ht="12.75" customHeight="1">
      <c r="E581" s="54"/>
      <c r="F581" s="569" t="s">
        <v>169</v>
      </c>
      <c r="G581" s="569"/>
      <c r="H581" s="569"/>
      <c r="I581" s="569"/>
      <c r="J581" s="569"/>
      <c r="K581" s="569"/>
      <c r="L581" s="569"/>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69"/>
      <c r="AL581" s="569"/>
      <c r="AM581" s="249"/>
    </row>
    <row r="582" spans="5:39">
      <c r="E582" s="54"/>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69"/>
      <c r="AC582" s="569"/>
      <c r="AD582" s="569"/>
      <c r="AE582" s="569"/>
      <c r="AF582" s="569"/>
      <c r="AG582" s="569"/>
      <c r="AH582" s="569"/>
      <c r="AI582" s="569"/>
      <c r="AJ582" s="569"/>
      <c r="AK582" s="569"/>
      <c r="AL582" s="569"/>
      <c r="AM582" s="249"/>
    </row>
    <row r="583" spans="5:39">
      <c r="E583" s="54"/>
      <c r="F583" s="569"/>
      <c r="G583" s="569"/>
      <c r="H583" s="569"/>
      <c r="I583" s="569"/>
      <c r="J583" s="569"/>
      <c r="K583" s="569"/>
      <c r="L583" s="569"/>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69"/>
      <c r="AL583" s="569"/>
      <c r="AM583" s="249"/>
    </row>
    <row r="584" spans="5:39">
      <c r="E584" s="54"/>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69"/>
      <c r="AL584" s="569"/>
      <c r="AM584" s="249"/>
    </row>
    <row r="585" spans="5:39">
      <c r="E585" s="54"/>
      <c r="F585" s="569"/>
      <c r="G585" s="569"/>
      <c r="H585" s="569"/>
      <c r="I585" s="569"/>
      <c r="J585" s="569"/>
      <c r="K585" s="569"/>
      <c r="L585" s="569"/>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69"/>
      <c r="AL585" s="569"/>
      <c r="AM585" s="54"/>
    </row>
    <row r="586" spans="5:39" ht="14.1" customHeight="1">
      <c r="E586" s="54"/>
      <c r="F586" s="569" t="s">
        <v>170</v>
      </c>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249"/>
    </row>
    <row r="587" spans="5:39" ht="35.1" customHeight="1">
      <c r="E587" s="54"/>
      <c r="F587" s="569"/>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249"/>
    </row>
    <row r="588" spans="5:39">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c r="AK588" s="54"/>
      <c r="AL588" s="54"/>
      <c r="AM588" s="54"/>
    </row>
    <row r="589" spans="5:39" ht="12.75" customHeight="1">
      <c r="E589" s="54"/>
      <c r="F589" s="654" t="s">
        <v>171</v>
      </c>
      <c r="G589" s="654"/>
      <c r="H589" s="654"/>
      <c r="I589" s="654"/>
      <c r="J589" s="654"/>
      <c r="K589" s="654"/>
      <c r="L589" s="654"/>
      <c r="M589" s="654"/>
      <c r="N589" s="654"/>
      <c r="O589" s="654"/>
      <c r="P589" s="654"/>
      <c r="Q589" s="654"/>
      <c r="R589" s="654"/>
      <c r="S589" s="654"/>
      <c r="T589" s="654"/>
      <c r="U589" s="654"/>
      <c r="V589" s="654"/>
      <c r="W589" s="57"/>
      <c r="X589" s="57"/>
      <c r="Y589" s="57"/>
      <c r="Z589" s="57"/>
      <c r="AA589" s="54"/>
      <c r="AB589" s="54"/>
      <c r="AC589" s="654" t="s">
        <v>172</v>
      </c>
      <c r="AD589" s="654"/>
      <c r="AE589" s="654"/>
      <c r="AF589" s="654"/>
      <c r="AG589" s="654"/>
      <c r="AH589" s="654"/>
      <c r="AI589" s="654"/>
      <c r="AJ589" s="654"/>
      <c r="AK589" s="654"/>
      <c r="AL589" s="654"/>
      <c r="AM589" s="654"/>
    </row>
    <row r="590" spans="5:39">
      <c r="E590" s="54"/>
      <c r="F590" s="658" t="s">
        <v>173</v>
      </c>
      <c r="G590" s="658"/>
      <c r="H590" s="658"/>
      <c r="I590" s="658"/>
      <c r="J590" s="658"/>
      <c r="K590" s="658"/>
      <c r="L590" s="658"/>
      <c r="M590" s="658"/>
      <c r="N590" s="658"/>
      <c r="O590" s="658"/>
      <c r="P590" s="658"/>
      <c r="Q590" s="658"/>
      <c r="R590" s="658"/>
      <c r="S590" s="658"/>
      <c r="T590" s="658"/>
      <c r="U590" s="658"/>
      <c r="V590" s="658"/>
      <c r="W590" s="57"/>
      <c r="X590" s="57"/>
      <c r="Y590" s="57"/>
      <c r="Z590" s="57"/>
      <c r="AA590" s="54"/>
      <c r="AB590" s="54"/>
      <c r="AC590" s="662" t="s">
        <v>174</v>
      </c>
      <c r="AD590" s="662"/>
      <c r="AE590" s="662"/>
      <c r="AF590" s="662"/>
      <c r="AG590" s="662"/>
      <c r="AH590" s="662"/>
      <c r="AI590" s="662"/>
      <c r="AJ590" s="662"/>
      <c r="AK590" s="662"/>
      <c r="AL590" s="662"/>
      <c r="AM590" s="662"/>
    </row>
    <row r="591" spans="5:39">
      <c r="E591" s="54"/>
      <c r="F591" s="658" t="s">
        <v>175</v>
      </c>
      <c r="G591" s="658"/>
      <c r="H591" s="658"/>
      <c r="I591" s="658"/>
      <c r="J591" s="658"/>
      <c r="K591" s="658"/>
      <c r="L591" s="658"/>
      <c r="M591" s="658"/>
      <c r="N591" s="658"/>
      <c r="O591" s="658"/>
      <c r="P591" s="658"/>
      <c r="Q591" s="658"/>
      <c r="R591" s="658"/>
      <c r="S591" s="658"/>
      <c r="T591" s="658"/>
      <c r="U591" s="658"/>
      <c r="V591" s="658"/>
      <c r="W591" s="57"/>
      <c r="X591" s="57"/>
      <c r="Y591" s="57"/>
      <c r="Z591" s="57"/>
      <c r="AA591" s="54"/>
      <c r="AB591" s="54"/>
      <c r="AC591" s="659" t="s">
        <v>176</v>
      </c>
      <c r="AD591" s="659"/>
      <c r="AE591" s="659"/>
      <c r="AF591" s="659"/>
      <c r="AG591" s="659"/>
      <c r="AH591" s="659"/>
      <c r="AI591" s="659"/>
      <c r="AJ591" s="659"/>
      <c r="AK591" s="659"/>
      <c r="AL591" s="659"/>
      <c r="AM591" s="659"/>
    </row>
    <row r="592" spans="5:39">
      <c r="E592" s="54"/>
      <c r="F592" s="658" t="s">
        <v>177</v>
      </c>
      <c r="G592" s="658"/>
      <c r="H592" s="658"/>
      <c r="I592" s="658"/>
      <c r="J592" s="658"/>
      <c r="K592" s="658"/>
      <c r="L592" s="658"/>
      <c r="M592" s="658"/>
      <c r="N592" s="658"/>
      <c r="O592" s="658"/>
      <c r="P592" s="658"/>
      <c r="Q592" s="658"/>
      <c r="R592" s="658"/>
      <c r="S592" s="658"/>
      <c r="T592" s="658"/>
      <c r="U592" s="658"/>
      <c r="V592" s="658"/>
      <c r="W592" s="57"/>
      <c r="X592" s="57"/>
      <c r="Y592" s="57"/>
      <c r="Z592" s="57"/>
      <c r="AA592" s="54"/>
      <c r="AB592" s="54"/>
      <c r="AC592" s="659" t="s">
        <v>178</v>
      </c>
      <c r="AD592" s="659"/>
      <c r="AE592" s="659"/>
      <c r="AF592" s="659"/>
      <c r="AG592" s="659"/>
      <c r="AH592" s="659"/>
      <c r="AI592" s="659"/>
      <c r="AJ592" s="659"/>
      <c r="AK592" s="659"/>
      <c r="AL592" s="659"/>
      <c r="AM592" s="659"/>
    </row>
    <row r="593" spans="1:39" hidden="1" outlineLevel="1">
      <c r="E593" s="54"/>
      <c r="F593" s="658" t="s">
        <v>179</v>
      </c>
      <c r="G593" s="658"/>
      <c r="H593" s="658"/>
      <c r="I593" s="658"/>
      <c r="J593" s="658"/>
      <c r="K593" s="658"/>
      <c r="L593" s="658"/>
      <c r="M593" s="658"/>
      <c r="N593" s="658"/>
      <c r="O593" s="658"/>
      <c r="P593" s="658"/>
      <c r="Q593" s="658"/>
      <c r="R593" s="658"/>
      <c r="S593" s="658"/>
      <c r="T593" s="658"/>
      <c r="U593" s="658"/>
      <c r="V593" s="658"/>
      <c r="W593" s="57"/>
      <c r="X593" s="57"/>
      <c r="Y593" s="57"/>
      <c r="Z593" s="57"/>
      <c r="AA593" s="54"/>
      <c r="AB593" s="54"/>
      <c r="AC593" s="657" t="s">
        <v>180</v>
      </c>
      <c r="AD593" s="657"/>
      <c r="AE593" s="657"/>
      <c r="AF593" s="657"/>
      <c r="AG593" s="657"/>
      <c r="AH593" s="657"/>
      <c r="AI593" s="657"/>
      <c r="AJ593" s="657"/>
      <c r="AK593" s="657"/>
      <c r="AL593" s="657"/>
      <c r="AM593" s="657"/>
    </row>
    <row r="594" spans="1:39" collapsed="1">
      <c r="E594" s="54"/>
      <c r="F594" s="658" t="s">
        <v>181</v>
      </c>
      <c r="G594" s="658"/>
      <c r="H594" s="658"/>
      <c r="I594" s="658"/>
      <c r="J594" s="658"/>
      <c r="K594" s="658"/>
      <c r="L594" s="658"/>
      <c r="M594" s="658"/>
      <c r="N594" s="658"/>
      <c r="O594" s="658"/>
      <c r="P594" s="658"/>
      <c r="Q594" s="658"/>
      <c r="R594" s="658"/>
      <c r="S594" s="658"/>
      <c r="T594" s="658"/>
      <c r="U594" s="658"/>
      <c r="V594" s="658"/>
      <c r="W594" s="57"/>
      <c r="X594" s="57"/>
      <c r="Y594" s="57"/>
      <c r="Z594" s="57"/>
      <c r="AA594" s="54"/>
      <c r="AB594" s="54"/>
      <c r="AC594" s="657" t="s">
        <v>182</v>
      </c>
      <c r="AD594" s="657"/>
      <c r="AE594" s="657"/>
      <c r="AF594" s="657"/>
      <c r="AG594" s="657"/>
      <c r="AH594" s="657"/>
      <c r="AI594" s="657"/>
      <c r="AJ594" s="657"/>
      <c r="AK594" s="657"/>
      <c r="AL594" s="657"/>
      <c r="AM594" s="657"/>
    </row>
    <row r="595" spans="1:39">
      <c r="E595" s="54"/>
      <c r="F595" s="658" t="s">
        <v>183</v>
      </c>
      <c r="G595" s="658"/>
      <c r="H595" s="658"/>
      <c r="I595" s="658"/>
      <c r="J595" s="658"/>
      <c r="K595" s="658"/>
      <c r="L595" s="658"/>
      <c r="M595" s="658"/>
      <c r="N595" s="658"/>
      <c r="O595" s="658"/>
      <c r="P595" s="658"/>
      <c r="Q595" s="658"/>
      <c r="R595" s="658"/>
      <c r="S595" s="658"/>
      <c r="T595" s="658"/>
      <c r="U595" s="658"/>
      <c r="V595" s="658"/>
      <c r="W595" s="57"/>
      <c r="X595" s="57"/>
      <c r="Y595" s="57"/>
      <c r="Z595" s="57"/>
      <c r="AA595" s="54"/>
      <c r="AB595" s="54"/>
      <c r="AC595" s="657" t="s">
        <v>184</v>
      </c>
      <c r="AD595" s="657"/>
      <c r="AE595" s="657"/>
      <c r="AF595" s="657"/>
      <c r="AG595" s="657"/>
      <c r="AH595" s="657"/>
      <c r="AI595" s="657"/>
      <c r="AJ595" s="657"/>
      <c r="AK595" s="657"/>
      <c r="AL595" s="657"/>
      <c r="AM595" s="657"/>
    </row>
    <row r="596" spans="1:39" ht="12.75" customHeight="1">
      <c r="E596" s="54"/>
      <c r="F596" s="569" t="s">
        <v>185</v>
      </c>
      <c r="G596" s="569"/>
      <c r="H596" s="569"/>
      <c r="I596" s="569"/>
      <c r="J596" s="569"/>
      <c r="K596" s="569"/>
      <c r="L596" s="569"/>
      <c r="M596" s="569"/>
      <c r="N596" s="569"/>
      <c r="O596" s="569"/>
      <c r="P596" s="569"/>
      <c r="Q596" s="569"/>
      <c r="R596" s="569"/>
      <c r="S596" s="569"/>
      <c r="T596" s="569"/>
      <c r="U596" s="569"/>
      <c r="V596" s="569"/>
      <c r="W596" s="54"/>
      <c r="X596" s="54"/>
      <c r="Y596" s="54"/>
      <c r="Z596" s="54"/>
      <c r="AA596" s="54"/>
      <c r="AB596" s="54"/>
      <c r="AC596" s="657" t="s">
        <v>174</v>
      </c>
      <c r="AD596" s="657"/>
      <c r="AE596" s="657"/>
      <c r="AF596" s="657"/>
      <c r="AG596" s="657"/>
      <c r="AH596" s="657"/>
      <c r="AI596" s="657"/>
      <c r="AJ596" s="657"/>
      <c r="AK596" s="657"/>
      <c r="AL596" s="657"/>
      <c r="AM596" s="657"/>
    </row>
    <row r="597" spans="1:39" s="382" customFormat="1" ht="12.75" customHeight="1">
      <c r="A597" s="1"/>
      <c r="B597" s="1"/>
      <c r="C597" s="2"/>
      <c r="D597" s="1"/>
      <c r="E597" s="384"/>
      <c r="F597" s="379"/>
      <c r="G597" s="379"/>
      <c r="H597" s="379"/>
      <c r="I597" s="379"/>
      <c r="J597" s="379"/>
      <c r="K597" s="379"/>
      <c r="L597" s="379"/>
      <c r="M597" s="379"/>
      <c r="N597" s="379"/>
      <c r="O597" s="379"/>
      <c r="P597" s="379"/>
      <c r="Q597" s="379"/>
      <c r="R597" s="379"/>
      <c r="S597" s="379"/>
      <c r="T597" s="379"/>
      <c r="U597" s="379"/>
      <c r="V597" s="379"/>
      <c r="W597" s="384"/>
      <c r="X597" s="384"/>
      <c r="Y597" s="384"/>
      <c r="Z597" s="384"/>
      <c r="AA597" s="384"/>
      <c r="AB597" s="384"/>
      <c r="AC597" s="385"/>
      <c r="AD597" s="385"/>
      <c r="AE597" s="385"/>
      <c r="AF597" s="385"/>
      <c r="AG597" s="385"/>
      <c r="AH597" s="385"/>
      <c r="AI597" s="385"/>
      <c r="AJ597" s="385"/>
      <c r="AK597" s="385"/>
      <c r="AL597" s="385"/>
      <c r="AM597" s="385"/>
    </row>
    <row r="598" spans="1:39">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8"/>
      <c r="AD598" s="58"/>
      <c r="AE598" s="58"/>
      <c r="AF598" s="58"/>
      <c r="AG598" s="58"/>
      <c r="AH598" s="58"/>
      <c r="AI598" s="58"/>
      <c r="AJ598" s="58"/>
      <c r="AK598" s="58"/>
      <c r="AL598" s="58"/>
      <c r="AM598" s="58"/>
    </row>
    <row r="599" spans="1:39" ht="14.1" customHeight="1">
      <c r="E599" s="54"/>
      <c r="F599" s="569" t="s">
        <v>186</v>
      </c>
      <c r="G599" s="569"/>
      <c r="H599" s="569"/>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M599" s="249"/>
    </row>
    <row r="600" spans="1:39">
      <c r="E600" s="54"/>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M600" s="249"/>
    </row>
    <row r="601" spans="1:39">
      <c r="E601" s="54"/>
      <c r="F601" s="569"/>
      <c r="G601" s="569"/>
      <c r="H601" s="569"/>
      <c r="I601" s="569"/>
      <c r="J601" s="569"/>
      <c r="K601" s="569"/>
      <c r="L601" s="569"/>
      <c r="M601" s="569"/>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M601" s="249"/>
    </row>
    <row r="602" spans="1:39">
      <c r="E602" s="54"/>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M602" s="54"/>
    </row>
    <row r="603" spans="1:39" ht="12.75" customHeight="1">
      <c r="E603" s="54"/>
      <c r="F603" s="569" t="s">
        <v>187</v>
      </c>
      <c r="G603" s="569"/>
      <c r="H603" s="569"/>
      <c r="I603" s="569"/>
      <c r="J603" s="569"/>
      <c r="K603" s="569"/>
      <c r="L603" s="569"/>
      <c r="M603" s="569"/>
      <c r="N603" s="569"/>
      <c r="O603" s="569"/>
      <c r="P603" s="569"/>
      <c r="Q603" s="569"/>
      <c r="R603" s="569"/>
      <c r="S603" s="569"/>
      <c r="T603" s="569"/>
      <c r="U603" s="569"/>
      <c r="V603" s="569"/>
      <c r="W603" s="569"/>
      <c r="X603" s="569"/>
      <c r="Y603" s="569"/>
      <c r="Z603" s="569"/>
      <c r="AA603" s="569"/>
      <c r="AB603" s="569"/>
      <c r="AC603" s="569"/>
      <c r="AD603" s="569"/>
      <c r="AE603" s="569"/>
      <c r="AF603" s="569"/>
      <c r="AG603" s="569"/>
      <c r="AH603" s="569"/>
      <c r="AI603" s="569"/>
      <c r="AJ603" s="569"/>
      <c r="AK603" s="569"/>
      <c r="AL603" s="569"/>
      <c r="AM603" s="249"/>
    </row>
    <row r="604" spans="1:39">
      <c r="E604" s="54"/>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M604" s="249"/>
    </row>
    <row r="605" spans="1:39">
      <c r="E605" s="54"/>
      <c r="F605" s="569"/>
      <c r="G605" s="569"/>
      <c r="H605" s="569"/>
      <c r="I605" s="569"/>
      <c r="J605" s="569"/>
      <c r="K605" s="569"/>
      <c r="L605" s="569"/>
      <c r="M605" s="569"/>
      <c r="N605" s="569"/>
      <c r="O605" s="569"/>
      <c r="P605" s="569"/>
      <c r="Q605" s="569"/>
      <c r="R605" s="569"/>
      <c r="S605" s="569"/>
      <c r="T605" s="569"/>
      <c r="U605" s="569"/>
      <c r="V605" s="569"/>
      <c r="W605" s="569"/>
      <c r="X605" s="569"/>
      <c r="Y605" s="569"/>
      <c r="Z605" s="569"/>
      <c r="AA605" s="569"/>
      <c r="AB605" s="569"/>
      <c r="AC605" s="569"/>
      <c r="AD605" s="569"/>
      <c r="AE605" s="569"/>
      <c r="AF605" s="569"/>
      <c r="AG605" s="569"/>
      <c r="AH605" s="569"/>
      <c r="AI605" s="569"/>
      <c r="AJ605" s="569"/>
      <c r="AK605" s="569"/>
      <c r="AL605" s="569"/>
      <c r="AM605" s="249"/>
    </row>
    <row r="606" spans="1:39">
      <c r="E606" s="54"/>
      <c r="F606" s="569"/>
      <c r="G606" s="569"/>
      <c r="H606" s="569"/>
      <c r="I606" s="569"/>
      <c r="J606" s="569"/>
      <c r="K606" s="569"/>
      <c r="L606" s="569"/>
      <c r="M606" s="569"/>
      <c r="N606" s="569"/>
      <c r="O606" s="569"/>
      <c r="P606" s="569"/>
      <c r="Q606" s="569"/>
      <c r="R606" s="569"/>
      <c r="S606" s="569"/>
      <c r="T606" s="569"/>
      <c r="U606" s="569"/>
      <c r="V606" s="569"/>
      <c r="W606" s="569"/>
      <c r="X606" s="569"/>
      <c r="Y606" s="569"/>
      <c r="Z606" s="569"/>
      <c r="AA606" s="569"/>
      <c r="AB606" s="569"/>
      <c r="AC606" s="569"/>
      <c r="AD606" s="569"/>
      <c r="AE606" s="569"/>
      <c r="AF606" s="569"/>
      <c r="AG606" s="569"/>
      <c r="AH606" s="569"/>
      <c r="AI606" s="569"/>
      <c r="AJ606" s="569"/>
      <c r="AK606" s="569"/>
      <c r="AL606" s="569"/>
      <c r="AM606" s="54"/>
    </row>
    <row r="607" spans="1:39" ht="14.1" customHeight="1">
      <c r="E607" s="54"/>
      <c r="F607" s="569" t="s">
        <v>188</v>
      </c>
      <c r="G607" s="569"/>
      <c r="H607" s="569"/>
      <c r="I607" s="569"/>
      <c r="J607" s="569"/>
      <c r="K607" s="569"/>
      <c r="L607" s="569"/>
      <c r="M607" s="569"/>
      <c r="N607" s="569"/>
      <c r="O607" s="569"/>
      <c r="P607" s="569"/>
      <c r="Q607" s="569"/>
      <c r="R607" s="569"/>
      <c r="S607" s="569"/>
      <c r="T607" s="569"/>
      <c r="U607" s="569"/>
      <c r="V607" s="569"/>
      <c r="W607" s="569"/>
      <c r="X607" s="569"/>
      <c r="Y607" s="569"/>
      <c r="Z607" s="569"/>
      <c r="AA607" s="569"/>
      <c r="AB607" s="569"/>
      <c r="AC607" s="569"/>
      <c r="AD607" s="569"/>
      <c r="AE607" s="569"/>
      <c r="AF607" s="569"/>
      <c r="AG607" s="569"/>
      <c r="AH607" s="569"/>
      <c r="AI607" s="569"/>
      <c r="AJ607" s="569"/>
      <c r="AK607" s="569"/>
      <c r="AL607" s="569"/>
      <c r="AM607" s="249"/>
    </row>
    <row r="608" spans="1:39" ht="26.25" customHeight="1">
      <c r="E608" s="54"/>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69"/>
      <c r="AB608" s="569"/>
      <c r="AC608" s="569"/>
      <c r="AD608" s="569"/>
      <c r="AE608" s="569"/>
      <c r="AF608" s="569"/>
      <c r="AG608" s="569"/>
      <c r="AH608" s="569"/>
      <c r="AI608" s="569"/>
      <c r="AJ608" s="569"/>
      <c r="AK608" s="569"/>
      <c r="AL608" s="569"/>
      <c r="AM608" s="249"/>
    </row>
    <row r="609" spans="1:39" s="368" customFormat="1" ht="12" customHeight="1">
      <c r="A609" s="1"/>
      <c r="B609" s="1"/>
      <c r="C609" s="2"/>
      <c r="D609" s="1"/>
      <c r="E609" s="371"/>
      <c r="F609" s="369"/>
      <c r="G609" s="369"/>
      <c r="H609" s="369"/>
      <c r="I609" s="369"/>
      <c r="J609" s="369"/>
      <c r="K609" s="369"/>
      <c r="L609" s="369"/>
      <c r="M609" s="369"/>
      <c r="N609" s="369"/>
      <c r="O609" s="369"/>
      <c r="P609" s="369"/>
      <c r="Q609" s="369"/>
      <c r="R609" s="369"/>
      <c r="S609" s="369"/>
      <c r="T609" s="369"/>
      <c r="U609" s="369"/>
      <c r="V609" s="369"/>
      <c r="W609" s="369"/>
      <c r="X609" s="369"/>
      <c r="Y609" s="369"/>
      <c r="Z609" s="369"/>
      <c r="AA609" s="369"/>
      <c r="AB609" s="369"/>
      <c r="AC609" s="369"/>
      <c r="AD609" s="369"/>
      <c r="AE609" s="369"/>
      <c r="AF609" s="369"/>
      <c r="AG609" s="369"/>
      <c r="AH609" s="369"/>
      <c r="AI609" s="369"/>
      <c r="AJ609" s="369"/>
      <c r="AK609" s="369"/>
      <c r="AL609" s="369"/>
      <c r="AM609" s="372"/>
    </row>
    <row r="610" spans="1:39" s="382" customFormat="1" ht="12" customHeight="1">
      <c r="A610" s="1"/>
      <c r="B610" s="1"/>
      <c r="C610" s="2"/>
      <c r="D610" s="1"/>
      <c r="E610" s="384"/>
      <c r="F610" s="379"/>
      <c r="G610" s="379"/>
      <c r="H610" s="379"/>
      <c r="I610" s="379"/>
      <c r="J610" s="379"/>
      <c r="K610" s="379"/>
      <c r="L610" s="379"/>
      <c r="M610" s="379"/>
      <c r="N610" s="379"/>
      <c r="O610" s="379"/>
      <c r="P610" s="379"/>
      <c r="Q610" s="379"/>
      <c r="R610" s="379"/>
      <c r="S610" s="379"/>
      <c r="T610" s="379"/>
      <c r="U610" s="379"/>
      <c r="V610" s="379"/>
      <c r="W610" s="379"/>
      <c r="X610" s="379"/>
      <c r="Y610" s="379"/>
      <c r="Z610" s="379"/>
      <c r="AA610" s="379"/>
      <c r="AB610" s="379"/>
      <c r="AC610" s="379"/>
      <c r="AD610" s="379"/>
      <c r="AE610" s="379"/>
      <c r="AF610" s="379"/>
      <c r="AG610" s="379"/>
      <c r="AH610" s="379"/>
      <c r="AI610" s="379"/>
      <c r="AJ610" s="379"/>
      <c r="AK610" s="379"/>
      <c r="AL610" s="379"/>
      <c r="AM610" s="381"/>
    </row>
    <row r="611" spans="1:39" s="368" customFormat="1" ht="12" customHeight="1">
      <c r="A611" s="1"/>
      <c r="B611" s="1"/>
      <c r="C611" s="2"/>
      <c r="D611" s="1"/>
      <c r="E611" s="371"/>
      <c r="F611" s="369"/>
      <c r="G611" s="369"/>
      <c r="H611" s="369"/>
      <c r="I611" s="369"/>
      <c r="J611" s="369"/>
      <c r="K611" s="369"/>
      <c r="L611" s="369"/>
      <c r="M611" s="369"/>
      <c r="N611" s="369"/>
      <c r="O611" s="369"/>
      <c r="P611" s="369"/>
      <c r="Q611" s="369"/>
      <c r="R611" s="369"/>
      <c r="S611" s="369"/>
      <c r="T611" s="369"/>
      <c r="U611" s="369"/>
      <c r="V611" s="369"/>
      <c r="W611" s="369"/>
      <c r="X611" s="369"/>
      <c r="Y611" s="369"/>
      <c r="Z611" s="369"/>
      <c r="AA611" s="369"/>
      <c r="AB611" s="369"/>
      <c r="AC611" s="369"/>
      <c r="AD611" s="369"/>
      <c r="AE611" s="369"/>
      <c r="AF611" s="369"/>
      <c r="AG611" s="369"/>
      <c r="AH611" s="369"/>
      <c r="AI611" s="369"/>
      <c r="AJ611" s="369"/>
      <c r="AK611" s="369"/>
      <c r="AL611" s="369"/>
      <c r="AM611" s="372"/>
    </row>
    <row r="612" spans="1:39" s="361" customFormat="1" ht="14.25" customHeight="1">
      <c r="A612" s="1"/>
      <c r="B612" s="1"/>
      <c r="C612" s="2"/>
      <c r="D612" s="1"/>
      <c r="E612" s="363"/>
      <c r="F612" s="354"/>
      <c r="G612" s="354"/>
      <c r="H612" s="354"/>
      <c r="I612" s="354"/>
      <c r="J612" s="354"/>
      <c r="K612" s="354"/>
      <c r="L612" s="354"/>
      <c r="M612" s="354"/>
      <c r="N612" s="354"/>
      <c r="O612" s="354"/>
      <c r="P612" s="354"/>
      <c r="Q612" s="354"/>
      <c r="R612" s="354"/>
      <c r="S612" s="354"/>
      <c r="T612" s="354"/>
      <c r="U612" s="354"/>
      <c r="V612" s="354"/>
      <c r="W612" s="354"/>
      <c r="X612" s="354"/>
      <c r="Y612" s="354"/>
      <c r="Z612" s="354"/>
      <c r="AA612" s="354"/>
      <c r="AB612" s="354"/>
      <c r="AC612" s="354"/>
      <c r="AD612" s="354"/>
      <c r="AE612" s="354"/>
      <c r="AF612" s="354"/>
      <c r="AG612" s="354"/>
      <c r="AH612" s="354"/>
      <c r="AI612" s="354"/>
      <c r="AJ612" s="354"/>
      <c r="AK612" s="354"/>
      <c r="AL612" s="354"/>
      <c r="AM612" s="360"/>
    </row>
    <row r="613" spans="1:39" s="361" customFormat="1" ht="12" customHeight="1">
      <c r="A613" s="1"/>
      <c r="B613" s="1"/>
      <c r="C613" s="2"/>
      <c r="D613" s="1"/>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358" t="s">
        <v>24</v>
      </c>
      <c r="AK613" s="612">
        <v>9</v>
      </c>
      <c r="AL613" s="612"/>
      <c r="AM613" s="358" t="s">
        <v>24</v>
      </c>
    </row>
    <row r="614" spans="1:39" s="361" customFormat="1" ht="12" customHeight="1">
      <c r="A614" s="1"/>
      <c r="B614" s="1"/>
      <c r="C614" s="2"/>
      <c r="D614" s="1"/>
      <c r="E614" s="363"/>
      <c r="F614" s="354"/>
      <c r="G614" s="354"/>
      <c r="H614" s="354"/>
      <c r="I614" s="354"/>
      <c r="J614" s="354"/>
      <c r="K614" s="354"/>
      <c r="L614" s="354"/>
      <c r="M614" s="354"/>
      <c r="N614" s="354"/>
      <c r="O614" s="354"/>
      <c r="P614" s="354"/>
      <c r="Q614" s="354"/>
      <c r="R614" s="354"/>
      <c r="S614" s="354"/>
      <c r="T614" s="354"/>
      <c r="U614" s="354"/>
      <c r="V614" s="354"/>
      <c r="W614" s="354"/>
      <c r="X614" s="354"/>
      <c r="Y614" s="354"/>
      <c r="Z614" s="354"/>
      <c r="AA614" s="354"/>
      <c r="AB614" s="354"/>
      <c r="AC614" s="354"/>
      <c r="AD614" s="354"/>
      <c r="AE614" s="354"/>
      <c r="AF614" s="354"/>
      <c r="AG614" s="354"/>
      <c r="AH614" s="354"/>
      <c r="AI614" s="354"/>
      <c r="AJ614" s="354"/>
      <c r="AK614" s="354"/>
      <c r="AL614" s="354"/>
      <c r="AM614" s="360"/>
    </row>
    <row r="615" spans="1:39" s="361" customFormat="1" ht="12" customHeight="1">
      <c r="A615" s="1"/>
      <c r="B615" s="1"/>
      <c r="C615" s="2"/>
      <c r="D615" s="1"/>
      <c r="E615" s="363"/>
      <c r="F615" s="354"/>
      <c r="G615" s="354"/>
      <c r="H615" s="354"/>
      <c r="I615" s="354"/>
      <c r="J615" s="354"/>
      <c r="K615" s="354"/>
      <c r="L615" s="354"/>
      <c r="M615" s="354"/>
      <c r="N615" s="354"/>
      <c r="O615" s="354"/>
      <c r="P615" s="354"/>
      <c r="Q615" s="354"/>
      <c r="R615" s="354"/>
      <c r="S615" s="354"/>
      <c r="T615" s="354"/>
      <c r="U615" s="354"/>
      <c r="V615" s="354"/>
      <c r="W615" s="354"/>
      <c r="X615" s="354"/>
      <c r="Y615" s="354"/>
      <c r="Z615" s="354"/>
      <c r="AA615" s="354"/>
      <c r="AB615" s="354"/>
      <c r="AC615" s="354"/>
      <c r="AD615" s="354"/>
      <c r="AE615" s="354"/>
      <c r="AF615" s="354"/>
      <c r="AG615" s="354"/>
      <c r="AH615" s="354"/>
      <c r="AI615" s="354"/>
      <c r="AJ615" s="354"/>
      <c r="AK615" s="354"/>
      <c r="AL615" s="354"/>
      <c r="AM615" s="360"/>
    </row>
    <row r="616" spans="1:39" s="361" customFormat="1" ht="12" customHeight="1">
      <c r="A616" s="1"/>
      <c r="B616" s="1"/>
      <c r="C616" s="2"/>
      <c r="D616" s="1"/>
      <c r="E616" s="363"/>
      <c r="F616" s="354"/>
      <c r="G616" s="354"/>
      <c r="H616" s="354"/>
      <c r="I616" s="354"/>
      <c r="J616" s="354"/>
      <c r="K616" s="354"/>
      <c r="L616" s="354"/>
      <c r="M616" s="354"/>
      <c r="N616" s="354"/>
      <c r="O616" s="354"/>
      <c r="P616" s="354"/>
      <c r="Q616" s="354"/>
      <c r="R616" s="354"/>
      <c r="S616" s="354"/>
      <c r="T616" s="354"/>
      <c r="U616" s="354"/>
      <c r="V616" s="354"/>
      <c r="W616" s="354"/>
      <c r="X616" s="354"/>
      <c r="Y616" s="354"/>
      <c r="Z616" s="354"/>
      <c r="AA616" s="354"/>
      <c r="AB616" s="354"/>
      <c r="AC616" s="354"/>
      <c r="AD616" s="354"/>
      <c r="AE616" s="354"/>
      <c r="AF616" s="354"/>
      <c r="AG616" s="354"/>
      <c r="AH616" s="354"/>
      <c r="AI616" s="354"/>
      <c r="AJ616" s="354"/>
      <c r="AK616" s="354"/>
      <c r="AL616" s="354"/>
      <c r="AM616" s="360"/>
    </row>
    <row r="617" spans="1:39" s="361" customFormat="1" ht="12" customHeight="1">
      <c r="A617" s="1"/>
      <c r="B617" s="1"/>
      <c r="C617" s="2"/>
      <c r="D617" s="1"/>
      <c r="E617" s="376" t="str">
        <f>UPPER($Y$28)</f>
        <v>ПТ ЛОМБАРД "МЕРКУРІЙ"</v>
      </c>
      <c r="F617" s="376"/>
      <c r="G617" s="376"/>
      <c r="H617" s="376"/>
      <c r="I617" s="376"/>
      <c r="J617" s="376"/>
      <c r="K617" s="376"/>
      <c r="L617" s="376"/>
      <c r="M617" s="376"/>
      <c r="N617" s="376"/>
      <c r="O617" s="376"/>
      <c r="P617" s="376"/>
      <c r="Q617" s="376"/>
      <c r="R617" s="376"/>
      <c r="S617" s="376"/>
      <c r="T617" s="376"/>
      <c r="U617" s="376"/>
      <c r="V617" s="376"/>
      <c r="W617" s="376"/>
      <c r="X617" s="376"/>
      <c r="Y617" s="376"/>
      <c r="Z617" s="376"/>
      <c r="AA617" s="376"/>
      <c r="AB617" s="376"/>
      <c r="AC617" s="376"/>
      <c r="AD617" s="376"/>
      <c r="AE617" s="376"/>
      <c r="AF617" s="376"/>
      <c r="AG617" s="376"/>
      <c r="AH617" s="376"/>
      <c r="AI617" s="376"/>
      <c r="AJ617" s="376"/>
      <c r="AK617" s="376"/>
      <c r="AL617" s="376"/>
      <c r="AM617" s="376"/>
    </row>
    <row r="618" spans="1:39" s="361" customFormat="1" ht="12" customHeight="1">
      <c r="A618" s="1"/>
      <c r="B618" s="1"/>
      <c r="C618" s="2"/>
      <c r="D618" s="1"/>
      <c r="E618" s="269" t="s">
        <v>143</v>
      </c>
      <c r="F618" s="269"/>
      <c r="G618" s="269"/>
      <c r="H618" s="269"/>
      <c r="I618" s="269"/>
      <c r="J618" s="269"/>
      <c r="K618" s="269"/>
      <c r="L618" s="269"/>
      <c r="M618" s="269"/>
      <c r="N618" s="269"/>
      <c r="O618" s="269"/>
      <c r="P618" s="269"/>
      <c r="Q618" s="269"/>
      <c r="R618" s="269"/>
      <c r="S618" s="269"/>
      <c r="T618" s="269"/>
      <c r="U618" s="269"/>
      <c r="V618" s="269"/>
      <c r="W618" s="269"/>
      <c r="X618" s="269"/>
      <c r="Y618" s="269"/>
      <c r="Z618" s="269"/>
      <c r="AA618" s="269"/>
      <c r="AB618" s="269"/>
      <c r="AC618" s="269"/>
      <c r="AD618" s="269"/>
      <c r="AE618" s="269"/>
      <c r="AF618" s="269"/>
      <c r="AG618" s="269"/>
      <c r="AH618" s="269"/>
      <c r="AI618" s="269"/>
      <c r="AJ618" s="269"/>
      <c r="AK618" s="269"/>
      <c r="AL618" s="269"/>
      <c r="AM618" s="269"/>
    </row>
    <row r="619" spans="1:39" s="361" customFormat="1" ht="12" customHeight="1">
      <c r="A619" s="1"/>
      <c r="B619" s="1"/>
      <c r="C619" s="2"/>
      <c r="D619" s="1"/>
      <c r="E619" s="269" t="str">
        <f>$E$274</f>
        <v>ЗА РІК, ЩО ЗАКІНЧИВСЯ 31 ГРУДНЯ 2020 РОКУ</v>
      </c>
      <c r="F619" s="269"/>
      <c r="G619" s="269"/>
      <c r="H619" s="269"/>
      <c r="I619" s="269"/>
      <c r="J619" s="269"/>
      <c r="K619" s="269"/>
      <c r="L619" s="269"/>
      <c r="M619" s="269"/>
      <c r="N619" s="269"/>
      <c r="O619" s="269"/>
      <c r="P619" s="269"/>
      <c r="Q619" s="269"/>
      <c r="R619" s="269"/>
      <c r="S619" s="269"/>
      <c r="T619" s="269"/>
      <c r="U619" s="269"/>
      <c r="V619" s="269"/>
      <c r="W619" s="269"/>
      <c r="X619" s="269"/>
      <c r="Y619" s="269"/>
      <c r="Z619" s="269"/>
      <c r="AA619" s="269"/>
      <c r="AB619" s="269"/>
      <c r="AC619" s="269"/>
      <c r="AD619" s="269"/>
      <c r="AE619" s="269"/>
      <c r="AF619" s="269"/>
      <c r="AG619" s="269"/>
      <c r="AH619" s="269"/>
      <c r="AI619" s="269"/>
      <c r="AJ619" s="269"/>
      <c r="AK619" s="269"/>
      <c r="AL619" s="269"/>
      <c r="AM619" s="269"/>
    </row>
    <row r="620" spans="1:39" s="361" customFormat="1" ht="12" customHeight="1">
      <c r="A620" s="1"/>
      <c r="B620" s="1"/>
      <c r="C620" s="2"/>
      <c r="D620" s="1"/>
      <c r="E620" s="244" t="str">
        <f>$E$209</f>
        <v>(в тисячах гривень, якщо не вказано інше)</v>
      </c>
      <c r="F620" s="244"/>
      <c r="G620" s="244"/>
      <c r="H620" s="244"/>
      <c r="I620" s="244"/>
      <c r="J620" s="244"/>
      <c r="K620" s="244"/>
      <c r="L620" s="244"/>
      <c r="M620" s="244"/>
      <c r="N620" s="244"/>
      <c r="O620" s="244"/>
      <c r="P620" s="244"/>
      <c r="Q620" s="244"/>
      <c r="R620" s="244"/>
      <c r="S620" s="244"/>
      <c r="T620" s="244"/>
      <c r="U620" s="244"/>
      <c r="V620" s="244"/>
      <c r="W620" s="244"/>
      <c r="X620" s="244"/>
      <c r="Y620" s="244"/>
      <c r="Z620" s="244"/>
      <c r="AA620" s="244"/>
      <c r="AB620" s="244"/>
      <c r="AC620" s="244"/>
      <c r="AD620" s="244"/>
      <c r="AE620" s="244"/>
      <c r="AF620" s="244"/>
      <c r="AG620" s="244"/>
      <c r="AH620" s="244"/>
      <c r="AI620" s="244"/>
      <c r="AJ620" s="244"/>
      <c r="AK620" s="244"/>
      <c r="AL620" s="244"/>
      <c r="AM620" s="244"/>
    </row>
    <row r="621" spans="1:39" s="361" customFormat="1" ht="12" customHeight="1">
      <c r="A621" s="1"/>
      <c r="B621" s="1"/>
      <c r="C621" s="2"/>
      <c r="D621" s="1"/>
      <c r="E621" s="363"/>
      <c r="F621" s="354"/>
      <c r="G621" s="354"/>
      <c r="H621" s="354"/>
      <c r="I621" s="354"/>
      <c r="J621" s="354"/>
      <c r="K621" s="354"/>
      <c r="L621" s="354"/>
      <c r="M621" s="354"/>
      <c r="N621" s="354"/>
      <c r="O621" s="354"/>
      <c r="P621" s="354"/>
      <c r="Q621" s="354"/>
      <c r="R621" s="354"/>
      <c r="S621" s="354"/>
      <c r="T621" s="354"/>
      <c r="U621" s="354"/>
      <c r="V621" s="354"/>
      <c r="W621" s="354"/>
      <c r="X621" s="354"/>
      <c r="Y621" s="354"/>
      <c r="Z621" s="354"/>
      <c r="AA621" s="354"/>
      <c r="AB621" s="354"/>
      <c r="AC621" s="354"/>
      <c r="AD621" s="354"/>
      <c r="AE621" s="354"/>
      <c r="AF621" s="354"/>
      <c r="AG621" s="354"/>
      <c r="AH621" s="354"/>
      <c r="AI621" s="354"/>
      <c r="AJ621" s="354"/>
      <c r="AK621" s="354"/>
      <c r="AL621" s="354"/>
      <c r="AM621" s="360"/>
    </row>
    <row r="622" spans="1:39" ht="14.1" customHeight="1">
      <c r="F622" s="569" t="s">
        <v>189</v>
      </c>
      <c r="G622" s="569"/>
      <c r="H622" s="569"/>
      <c r="I622" s="569"/>
      <c r="J622" s="569"/>
      <c r="K622" s="569"/>
      <c r="L622" s="569"/>
      <c r="M622" s="569"/>
      <c r="N622" s="569"/>
      <c r="O622" s="569"/>
      <c r="P622" s="569"/>
      <c r="Q622" s="569"/>
      <c r="R622" s="569"/>
      <c r="S622" s="569"/>
      <c r="T622" s="569"/>
      <c r="U622" s="569"/>
      <c r="V622" s="569"/>
      <c r="W622" s="569"/>
      <c r="X622" s="569"/>
      <c r="Y622" s="569"/>
      <c r="Z622" s="569"/>
      <c r="AA622" s="569"/>
      <c r="AB622" s="569"/>
      <c r="AC622" s="569"/>
      <c r="AD622" s="569"/>
      <c r="AE622" s="569"/>
      <c r="AF622" s="569"/>
      <c r="AG622" s="569"/>
      <c r="AH622" s="569"/>
      <c r="AI622" s="569"/>
      <c r="AJ622" s="569"/>
      <c r="AK622" s="569"/>
      <c r="AL622" s="569"/>
      <c r="AM622" s="249"/>
    </row>
    <row r="623" spans="1:39">
      <c r="F623" s="569"/>
      <c r="G623" s="569"/>
      <c r="H623" s="569"/>
      <c r="I623" s="569"/>
      <c r="J623" s="569"/>
      <c r="K623" s="569"/>
      <c r="L623" s="569"/>
      <c r="M623" s="569"/>
      <c r="N623" s="569"/>
      <c r="O623" s="569"/>
      <c r="P623" s="569"/>
      <c r="Q623" s="569"/>
      <c r="R623" s="569"/>
      <c r="S623" s="569"/>
      <c r="T623" s="569"/>
      <c r="U623" s="569"/>
      <c r="V623" s="569"/>
      <c r="W623" s="569"/>
      <c r="X623" s="569"/>
      <c r="Y623" s="569"/>
      <c r="Z623" s="569"/>
      <c r="AA623" s="569"/>
      <c r="AB623" s="569"/>
      <c r="AC623" s="569"/>
      <c r="AD623" s="569"/>
      <c r="AE623" s="569"/>
      <c r="AF623" s="569"/>
      <c r="AG623" s="569"/>
      <c r="AH623" s="569"/>
      <c r="AI623" s="569"/>
      <c r="AJ623" s="569"/>
      <c r="AK623" s="569"/>
      <c r="AL623" s="569"/>
      <c r="AM623" s="249"/>
    </row>
    <row r="624" spans="1:39" ht="26.25" customHeight="1">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69"/>
      <c r="AB624" s="569"/>
      <c r="AC624" s="569"/>
      <c r="AD624" s="569"/>
      <c r="AE624" s="569"/>
      <c r="AF624" s="569"/>
      <c r="AG624" s="569"/>
      <c r="AH624" s="569"/>
      <c r="AI624" s="569"/>
      <c r="AJ624" s="569"/>
      <c r="AK624" s="569"/>
      <c r="AL624" s="569"/>
      <c r="AM624" s="249"/>
    </row>
    <row r="625" spans="1:39" s="361" customFormat="1" ht="13.5" customHeight="1">
      <c r="A625" s="1"/>
      <c r="B625" s="1"/>
      <c r="C625" s="2"/>
      <c r="D625" s="1"/>
      <c r="F625" s="354"/>
      <c r="G625" s="354"/>
      <c r="H625" s="354"/>
      <c r="I625" s="354"/>
      <c r="J625" s="354"/>
      <c r="K625" s="354"/>
      <c r="L625" s="354"/>
      <c r="M625" s="354"/>
      <c r="N625" s="354"/>
      <c r="O625" s="354"/>
      <c r="P625" s="354"/>
      <c r="Q625" s="354"/>
      <c r="R625" s="354"/>
      <c r="S625" s="354"/>
      <c r="T625" s="354"/>
      <c r="U625" s="354"/>
      <c r="V625" s="354"/>
      <c r="W625" s="354"/>
      <c r="X625" s="354"/>
      <c r="Y625" s="354"/>
      <c r="Z625" s="354"/>
      <c r="AA625" s="354"/>
      <c r="AB625" s="354"/>
      <c r="AC625" s="354"/>
      <c r="AD625" s="354"/>
      <c r="AE625" s="354"/>
      <c r="AF625" s="354"/>
      <c r="AG625" s="354"/>
      <c r="AH625" s="354"/>
      <c r="AI625" s="354"/>
      <c r="AJ625" s="354"/>
      <c r="AK625" s="354"/>
      <c r="AL625" s="354"/>
      <c r="AM625" s="360"/>
    </row>
    <row r="626" spans="1:39" s="231" customFormat="1" ht="14.1" customHeight="1">
      <c r="A626" s="1"/>
      <c r="B626" s="1"/>
      <c r="C626" s="2"/>
      <c r="D626" s="1"/>
      <c r="F626" s="276" t="s">
        <v>1356</v>
      </c>
      <c r="G626" s="276"/>
      <c r="H626" s="661" t="s">
        <v>190</v>
      </c>
      <c r="I626" s="661"/>
      <c r="J626" s="661"/>
      <c r="K626" s="661"/>
      <c r="L626" s="661"/>
      <c r="M626" s="661"/>
      <c r="N626" s="661"/>
      <c r="O626" s="661"/>
      <c r="P626" s="661"/>
      <c r="Q626" s="661"/>
      <c r="R626" s="661"/>
      <c r="S626" s="661"/>
      <c r="T626" s="661"/>
      <c r="U626" s="661"/>
      <c r="V626" s="661"/>
      <c r="W626" s="661"/>
      <c r="X626" s="661"/>
      <c r="Y626" s="661"/>
      <c r="Z626" s="661"/>
      <c r="AA626" s="661"/>
      <c r="AB626" s="661"/>
      <c r="AC626" s="661"/>
      <c r="AD626" s="661"/>
      <c r="AE626" s="661"/>
      <c r="AF626" s="661"/>
      <c r="AG626" s="55"/>
      <c r="AH626" s="55"/>
      <c r="AI626" s="55"/>
      <c r="AJ626" s="55"/>
      <c r="AK626" s="55"/>
      <c r="AL626" s="55"/>
      <c r="AM626" s="55"/>
    </row>
    <row r="627" spans="1:39" s="96" customFormat="1" ht="14.1" customHeight="1">
      <c r="A627" s="1"/>
      <c r="B627" s="1"/>
      <c r="C627" s="2"/>
      <c r="D627" s="1"/>
      <c r="F627" s="569" t="s">
        <v>191</v>
      </c>
      <c r="G627" s="569"/>
      <c r="H627" s="569"/>
      <c r="I627" s="569"/>
      <c r="J627" s="569"/>
      <c r="K627" s="569"/>
      <c r="L627" s="569"/>
      <c r="M627" s="569"/>
      <c r="N627" s="569"/>
      <c r="O627" s="569"/>
      <c r="P627" s="569"/>
      <c r="Q627" s="569"/>
      <c r="R627" s="569"/>
      <c r="S627" s="569"/>
      <c r="T627" s="569"/>
      <c r="U627" s="569"/>
      <c r="V627" s="569"/>
      <c r="W627" s="569"/>
      <c r="X627" s="569"/>
      <c r="Y627" s="569"/>
      <c r="Z627" s="569"/>
      <c r="AA627" s="569"/>
      <c r="AB627" s="569"/>
      <c r="AC627" s="569"/>
      <c r="AD627" s="569"/>
      <c r="AE627" s="569"/>
      <c r="AF627" s="569"/>
      <c r="AG627" s="569"/>
      <c r="AH627" s="569"/>
      <c r="AI627" s="569"/>
      <c r="AJ627" s="569"/>
      <c r="AK627" s="569"/>
      <c r="AL627" s="569"/>
      <c r="AM627" s="249"/>
    </row>
    <row r="628" spans="1:39" s="96" customFormat="1">
      <c r="A628" s="1"/>
      <c r="B628" s="1"/>
      <c r="C628" s="2"/>
      <c r="D628" s="1"/>
      <c r="F628" s="569"/>
      <c r="G628" s="569"/>
      <c r="H628" s="569"/>
      <c r="I628" s="569"/>
      <c r="J628" s="569"/>
      <c r="K628" s="569"/>
      <c r="L628" s="569"/>
      <c r="M628" s="569"/>
      <c r="N628" s="569"/>
      <c r="O628" s="569"/>
      <c r="P628" s="569"/>
      <c r="Q628" s="569"/>
      <c r="R628" s="569"/>
      <c r="S628" s="569"/>
      <c r="T628" s="569"/>
      <c r="U628" s="569"/>
      <c r="V628" s="569"/>
      <c r="W628" s="569"/>
      <c r="X628" s="569"/>
      <c r="Y628" s="569"/>
      <c r="Z628" s="569"/>
      <c r="AA628" s="569"/>
      <c r="AB628" s="569"/>
      <c r="AC628" s="569"/>
      <c r="AD628" s="569"/>
      <c r="AE628" s="569"/>
      <c r="AF628" s="569"/>
      <c r="AG628" s="569"/>
      <c r="AH628" s="569"/>
      <c r="AI628" s="569"/>
      <c r="AJ628" s="569"/>
      <c r="AK628" s="569"/>
      <c r="AL628" s="569"/>
      <c r="AM628" s="249"/>
    </row>
    <row r="629" spans="1:39" s="96" customFormat="1">
      <c r="A629" s="1"/>
      <c r="B629" s="1"/>
      <c r="C629" s="2"/>
      <c r="D629" s="1"/>
      <c r="F629" s="569"/>
      <c r="G629" s="569"/>
      <c r="H629" s="569"/>
      <c r="I629" s="569"/>
      <c r="J629" s="569"/>
      <c r="K629" s="569"/>
      <c r="L629" s="569"/>
      <c r="M629" s="569"/>
      <c r="N629" s="569"/>
      <c r="O629" s="569"/>
      <c r="P629" s="569"/>
      <c r="Q629" s="569"/>
      <c r="R629" s="569"/>
      <c r="S629" s="569"/>
      <c r="T629" s="569"/>
      <c r="U629" s="569"/>
      <c r="V629" s="569"/>
      <c r="W629" s="569"/>
      <c r="X629" s="569"/>
      <c r="Y629" s="569"/>
      <c r="Z629" s="569"/>
      <c r="AA629" s="569"/>
      <c r="AB629" s="569"/>
      <c r="AC629" s="569"/>
      <c r="AD629" s="569"/>
      <c r="AE629" s="569"/>
      <c r="AF629" s="569"/>
      <c r="AG629" s="569"/>
      <c r="AH629" s="569"/>
      <c r="AI629" s="569"/>
      <c r="AJ629" s="569"/>
      <c r="AK629" s="569"/>
      <c r="AL629" s="569"/>
      <c r="AM629" s="249"/>
    </row>
    <row r="630" spans="1:39" s="96" customFormat="1">
      <c r="A630" s="1"/>
      <c r="B630" s="1"/>
      <c r="C630" s="2"/>
      <c r="D630" s="1"/>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I630" s="54"/>
      <c r="AJ630" s="54"/>
      <c r="AK630" s="54"/>
      <c r="AL630" s="54"/>
      <c r="AM630" s="54"/>
    </row>
    <row r="631" spans="1:39" s="96" customFormat="1" ht="14.1" customHeight="1">
      <c r="A631" s="1"/>
      <c r="B631" s="1"/>
      <c r="C631" s="2"/>
      <c r="D631" s="1"/>
      <c r="F631" s="569" t="s">
        <v>192</v>
      </c>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69"/>
      <c r="AL631" s="569"/>
      <c r="AM631" s="249"/>
    </row>
    <row r="632" spans="1:39" s="96" customFormat="1">
      <c r="A632" s="1"/>
      <c r="B632" s="1"/>
      <c r="C632" s="2"/>
      <c r="D632" s="1"/>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69"/>
      <c r="AL632" s="569"/>
      <c r="AM632" s="249"/>
    </row>
    <row r="633" spans="1:39" s="96" customFormat="1">
      <c r="A633" s="1"/>
      <c r="B633" s="1"/>
      <c r="C633" s="2"/>
      <c r="D633" s="1"/>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c r="AG633" s="54"/>
      <c r="AH633" s="54"/>
      <c r="AI633" s="54"/>
      <c r="AJ633" s="54"/>
      <c r="AK633" s="54"/>
      <c r="AL633" s="54"/>
      <c r="AM633" s="54"/>
    </row>
    <row r="634" spans="1:39" s="96" customFormat="1" ht="14.1" customHeight="1">
      <c r="A634" s="1"/>
      <c r="B634" s="1"/>
      <c r="C634" s="2"/>
      <c r="D634" s="1"/>
      <c r="F634" s="569" t="s">
        <v>193</v>
      </c>
      <c r="G634" s="569"/>
      <c r="H634" s="569"/>
      <c r="I634" s="569"/>
      <c r="J634" s="569"/>
      <c r="K634" s="569"/>
      <c r="L634" s="569"/>
      <c r="M634" s="569"/>
      <c r="N634" s="569"/>
      <c r="O634" s="569"/>
      <c r="P634" s="569"/>
      <c r="Q634" s="569"/>
      <c r="R634" s="569"/>
      <c r="S634" s="569"/>
      <c r="T634" s="569"/>
      <c r="U634" s="569"/>
      <c r="V634" s="569"/>
      <c r="W634" s="569"/>
      <c r="X634" s="569"/>
      <c r="Y634" s="569"/>
      <c r="Z634" s="569"/>
      <c r="AA634" s="569"/>
      <c r="AB634" s="569"/>
      <c r="AC634" s="569"/>
      <c r="AD634" s="569"/>
      <c r="AE634" s="569"/>
      <c r="AF634" s="569"/>
      <c r="AG634" s="569"/>
      <c r="AH634" s="569"/>
      <c r="AI634" s="569"/>
      <c r="AJ634" s="569"/>
      <c r="AK634" s="569"/>
      <c r="AL634" s="569"/>
      <c r="AM634" s="249"/>
    </row>
    <row r="635" spans="1:39" s="96" customFormat="1">
      <c r="A635" s="1"/>
      <c r="B635" s="1"/>
      <c r="C635" s="2"/>
      <c r="D635" s="1"/>
      <c r="F635" s="569"/>
      <c r="G635" s="569"/>
      <c r="H635" s="569"/>
      <c r="I635" s="569"/>
      <c r="J635" s="569"/>
      <c r="K635" s="569"/>
      <c r="L635" s="569"/>
      <c r="M635" s="569"/>
      <c r="N635" s="569"/>
      <c r="O635" s="569"/>
      <c r="P635" s="569"/>
      <c r="Q635" s="569"/>
      <c r="R635" s="569"/>
      <c r="S635" s="569"/>
      <c r="T635" s="569"/>
      <c r="U635" s="569"/>
      <c r="V635" s="569"/>
      <c r="W635" s="569"/>
      <c r="X635" s="569"/>
      <c r="Y635" s="569"/>
      <c r="Z635" s="569"/>
      <c r="AA635" s="569"/>
      <c r="AB635" s="569"/>
      <c r="AC635" s="569"/>
      <c r="AD635" s="569"/>
      <c r="AE635" s="569"/>
      <c r="AF635" s="569"/>
      <c r="AG635" s="569"/>
      <c r="AH635" s="569"/>
      <c r="AI635" s="569"/>
      <c r="AJ635" s="569"/>
      <c r="AK635" s="569"/>
      <c r="AL635" s="569"/>
      <c r="AM635" s="249"/>
    </row>
    <row r="636" spans="1:39" s="96" customFormat="1">
      <c r="A636" s="1"/>
      <c r="B636" s="1"/>
      <c r="C636" s="2"/>
      <c r="D636" s="1"/>
      <c r="F636" s="569"/>
      <c r="G636" s="569"/>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69"/>
      <c r="AL636" s="569"/>
      <c r="AM636" s="249"/>
    </row>
    <row r="637" spans="1:39" s="96" customFormat="1" ht="9.75" customHeight="1">
      <c r="A637" s="1"/>
      <c r="B637" s="1"/>
      <c r="C637" s="2"/>
      <c r="D637" s="1"/>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row>
    <row r="638" spans="1:39" s="96" customFormat="1" ht="14.1" customHeight="1">
      <c r="A638" s="1"/>
      <c r="B638" s="1"/>
      <c r="C638" s="2"/>
      <c r="D638" s="1"/>
      <c r="F638" s="663" t="s">
        <v>195</v>
      </c>
      <c r="G638" s="663"/>
      <c r="H638" s="663"/>
      <c r="I638" s="663"/>
      <c r="J638" s="663"/>
      <c r="K638" s="663"/>
      <c r="L638" s="663"/>
      <c r="M638" s="663"/>
      <c r="N638" s="663"/>
      <c r="O638" s="663"/>
      <c r="P638" s="663"/>
      <c r="Q638" s="663"/>
      <c r="R638" s="663"/>
      <c r="S638" s="663"/>
      <c r="T638" s="663"/>
      <c r="U638" s="663"/>
      <c r="V638" s="663"/>
      <c r="W638" s="663"/>
      <c r="X638" s="663"/>
      <c r="Y638" s="663"/>
      <c r="Z638" s="663"/>
      <c r="AA638" s="663"/>
      <c r="AB638" s="663"/>
      <c r="AC638" s="663"/>
      <c r="AD638" s="663"/>
      <c r="AE638" s="663"/>
      <c r="AF638" s="663"/>
      <c r="AG638" s="663"/>
      <c r="AH638" s="663"/>
      <c r="AI638" s="663"/>
      <c r="AJ638" s="663"/>
      <c r="AK638" s="663"/>
      <c r="AL638" s="663"/>
      <c r="AM638" s="249"/>
    </row>
    <row r="639" spans="1:39" s="96" customFormat="1">
      <c r="A639" s="1"/>
      <c r="B639" s="1"/>
      <c r="C639" s="2"/>
      <c r="D639" s="1"/>
      <c r="F639" s="663"/>
      <c r="G639" s="663"/>
      <c r="H639" s="663"/>
      <c r="I639" s="663"/>
      <c r="J639" s="663"/>
      <c r="K639" s="663"/>
      <c r="L639" s="663"/>
      <c r="M639" s="663"/>
      <c r="N639" s="663"/>
      <c r="O639" s="663"/>
      <c r="P639" s="663"/>
      <c r="Q639" s="663"/>
      <c r="R639" s="663"/>
      <c r="S639" s="663"/>
      <c r="T639" s="663"/>
      <c r="U639" s="663"/>
      <c r="V639" s="663"/>
      <c r="W639" s="663"/>
      <c r="X639" s="663"/>
      <c r="Y639" s="663"/>
      <c r="Z639" s="663"/>
      <c r="AA639" s="663"/>
      <c r="AB639" s="663"/>
      <c r="AC639" s="663"/>
      <c r="AD639" s="663"/>
      <c r="AE639" s="663"/>
      <c r="AF639" s="663"/>
      <c r="AG639" s="663"/>
      <c r="AH639" s="663"/>
      <c r="AI639" s="663"/>
      <c r="AJ639" s="663"/>
      <c r="AK639" s="663"/>
      <c r="AL639" s="663"/>
      <c r="AM639" s="249"/>
    </row>
    <row r="640" spans="1:39" s="96" customFormat="1">
      <c r="A640" s="1"/>
      <c r="B640" s="1"/>
      <c r="C640" s="2"/>
      <c r="D640" s="1"/>
      <c r="F640" s="663"/>
      <c r="G640" s="663"/>
      <c r="H640" s="663"/>
      <c r="I640" s="663"/>
      <c r="J640" s="663"/>
      <c r="K640" s="663"/>
      <c r="L640" s="663"/>
      <c r="M640" s="663"/>
      <c r="N640" s="663"/>
      <c r="O640" s="663"/>
      <c r="P640" s="663"/>
      <c r="Q640" s="663"/>
      <c r="R640" s="663"/>
      <c r="S640" s="663"/>
      <c r="T640" s="663"/>
      <c r="U640" s="663"/>
      <c r="V640" s="663"/>
      <c r="W640" s="663"/>
      <c r="X640" s="663"/>
      <c r="Y640" s="663"/>
      <c r="Z640" s="663"/>
      <c r="AA640" s="663"/>
      <c r="AB640" s="663"/>
      <c r="AC640" s="663"/>
      <c r="AD640" s="663"/>
      <c r="AE640" s="663"/>
      <c r="AF640" s="663"/>
      <c r="AG640" s="663"/>
      <c r="AH640" s="663"/>
      <c r="AI640" s="663"/>
      <c r="AJ640" s="663"/>
      <c r="AK640" s="663"/>
      <c r="AL640" s="663"/>
      <c r="AM640" s="249"/>
    </row>
    <row r="641" spans="1:39">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c r="AG641" s="54"/>
      <c r="AH641" s="54"/>
      <c r="AI641" s="54"/>
      <c r="AJ641" s="54"/>
      <c r="AK641" s="54"/>
      <c r="AL641" s="54"/>
      <c r="AM641" s="54"/>
    </row>
    <row r="642" spans="1:39">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c r="AG642" s="54"/>
      <c r="AH642" s="54"/>
      <c r="AI642" s="54"/>
      <c r="AJ642" s="54"/>
      <c r="AK642" s="54"/>
      <c r="AL642" s="54"/>
      <c r="AM642" s="54"/>
    </row>
    <row r="643" spans="1:39" s="231" customFormat="1" ht="12.75" customHeight="1">
      <c r="A643" s="1"/>
      <c r="B643" s="1"/>
      <c r="C643" s="2"/>
      <c r="D643" s="1">
        <v>5</v>
      </c>
      <c r="E643" s="248"/>
      <c r="F643" s="664" t="s">
        <v>1324</v>
      </c>
      <c r="G643" s="664"/>
      <c r="H643" s="661" t="s">
        <v>1360</v>
      </c>
      <c r="I643" s="661"/>
      <c r="J643" s="661"/>
      <c r="K643" s="661"/>
      <c r="L643" s="661"/>
      <c r="M643" s="661"/>
      <c r="N643" s="661"/>
      <c r="O643" s="661"/>
      <c r="P643" s="661"/>
      <c r="Q643" s="661"/>
      <c r="R643" s="661"/>
      <c r="S643" s="661"/>
      <c r="T643" s="661"/>
      <c r="U643" s="661"/>
      <c r="V643" s="661"/>
      <c r="W643" s="661"/>
      <c r="X643" s="661"/>
      <c r="Y643" s="661"/>
      <c r="Z643" s="661"/>
      <c r="AA643" s="661"/>
      <c r="AB643" s="661"/>
      <c r="AC643" s="661"/>
      <c r="AD643" s="661"/>
      <c r="AE643" s="661"/>
      <c r="AF643" s="661"/>
      <c r="AG643" s="55"/>
      <c r="AH643" s="55"/>
      <c r="AI643" s="55"/>
      <c r="AJ643" s="55"/>
      <c r="AK643" s="55"/>
      <c r="AL643" s="55"/>
      <c r="AM643" s="55"/>
    </row>
    <row r="644" spans="1:39" s="104" customFormat="1" ht="12.75" customHeight="1">
      <c r="A644" s="1"/>
      <c r="B644" s="1"/>
      <c r="C644" s="2"/>
      <c r="D644" s="1"/>
      <c r="E644" s="98"/>
      <c r="F644" s="114"/>
      <c r="G644" s="114"/>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row>
    <row r="645" spans="1:39" s="231" customFormat="1" ht="12.75" customHeight="1">
      <c r="A645" s="1"/>
      <c r="B645" s="1"/>
      <c r="C645" s="2"/>
      <c r="D645" s="1"/>
      <c r="E645" s="248"/>
      <c r="F645" s="750" t="s">
        <v>1361</v>
      </c>
      <c r="G645" s="750"/>
      <c r="H645" s="750"/>
      <c r="I645" s="750"/>
      <c r="J645" s="750"/>
      <c r="K645" s="750"/>
      <c r="L645" s="750"/>
      <c r="M645" s="750"/>
      <c r="N645" s="750"/>
      <c r="O645" s="750"/>
      <c r="P645" s="750"/>
      <c r="Q645" s="750"/>
      <c r="R645" s="750"/>
      <c r="S645" s="750"/>
      <c r="T645" s="750"/>
      <c r="U645" s="750"/>
      <c r="V645" s="750"/>
      <c r="W645" s="750"/>
      <c r="X645" s="750"/>
      <c r="Y645" s="750"/>
      <c r="Z645" s="750"/>
      <c r="AA645" s="750"/>
      <c r="AB645" s="750"/>
      <c r="AC645" s="750"/>
      <c r="AD645" s="750"/>
      <c r="AE645" s="750"/>
      <c r="AF645" s="750"/>
      <c r="AG645" s="750"/>
      <c r="AH645" s="750"/>
      <c r="AI645" s="750"/>
      <c r="AJ645" s="750"/>
      <c r="AK645" s="750"/>
      <c r="AL645" s="750"/>
      <c r="AM645" s="55"/>
    </row>
    <row r="646" spans="1:39" s="231" customFormat="1" ht="12.75" customHeight="1">
      <c r="A646" s="1"/>
      <c r="B646" s="1"/>
      <c r="C646" s="2"/>
      <c r="D646" s="1"/>
      <c r="E646" s="248"/>
      <c r="F646" s="750"/>
      <c r="G646" s="750"/>
      <c r="H646" s="750"/>
      <c r="I646" s="750"/>
      <c r="J646" s="750"/>
      <c r="K646" s="750"/>
      <c r="L646" s="750"/>
      <c r="M646" s="750"/>
      <c r="N646" s="750"/>
      <c r="O646" s="750"/>
      <c r="P646" s="750"/>
      <c r="Q646" s="750"/>
      <c r="R646" s="750"/>
      <c r="S646" s="750"/>
      <c r="T646" s="750"/>
      <c r="U646" s="750"/>
      <c r="V646" s="750"/>
      <c r="W646" s="750"/>
      <c r="X646" s="750"/>
      <c r="Y646" s="750"/>
      <c r="Z646" s="750"/>
      <c r="AA646" s="750"/>
      <c r="AB646" s="750"/>
      <c r="AC646" s="750"/>
      <c r="AD646" s="750"/>
      <c r="AE646" s="750"/>
      <c r="AF646" s="750"/>
      <c r="AG646" s="750"/>
      <c r="AH646" s="750"/>
      <c r="AI646" s="750"/>
      <c r="AJ646" s="750"/>
      <c r="AK646" s="750"/>
      <c r="AL646" s="750"/>
      <c r="AM646" s="55"/>
    </row>
    <row r="647" spans="1:39" s="231" customFormat="1" ht="12.75" customHeight="1">
      <c r="A647" s="1"/>
      <c r="B647" s="1"/>
      <c r="C647" s="2"/>
      <c r="D647" s="1"/>
      <c r="E647" s="248"/>
      <c r="F647" s="750"/>
      <c r="G647" s="750"/>
      <c r="H647" s="750"/>
      <c r="I647" s="750"/>
      <c r="J647" s="750"/>
      <c r="K647" s="750"/>
      <c r="L647" s="750"/>
      <c r="M647" s="750"/>
      <c r="N647" s="750"/>
      <c r="O647" s="750"/>
      <c r="P647" s="750"/>
      <c r="Q647" s="750"/>
      <c r="R647" s="750"/>
      <c r="S647" s="750"/>
      <c r="T647" s="750"/>
      <c r="U647" s="750"/>
      <c r="V647" s="750"/>
      <c r="W647" s="750"/>
      <c r="X647" s="750"/>
      <c r="Y647" s="750"/>
      <c r="Z647" s="750"/>
      <c r="AA647" s="750"/>
      <c r="AB647" s="750"/>
      <c r="AC647" s="750"/>
      <c r="AD647" s="750"/>
      <c r="AE647" s="750"/>
      <c r="AF647" s="750"/>
      <c r="AG647" s="750"/>
      <c r="AH647" s="750"/>
      <c r="AI647" s="750"/>
      <c r="AJ647" s="750"/>
      <c r="AK647" s="750"/>
      <c r="AL647" s="750"/>
      <c r="AM647" s="55"/>
    </row>
    <row r="648" spans="1:39" s="231" customFormat="1" ht="12.75" customHeight="1">
      <c r="A648" s="1"/>
      <c r="B648" s="1"/>
      <c r="C648" s="2"/>
      <c r="D648" s="1"/>
      <c r="E648" s="248"/>
      <c r="F648" s="750"/>
      <c r="G648" s="750"/>
      <c r="H648" s="750"/>
      <c r="I648" s="750"/>
      <c r="J648" s="750"/>
      <c r="K648" s="750"/>
      <c r="L648" s="750"/>
      <c r="M648" s="750"/>
      <c r="N648" s="750"/>
      <c r="O648" s="750"/>
      <c r="P648" s="750"/>
      <c r="Q648" s="750"/>
      <c r="R648" s="750"/>
      <c r="S648" s="750"/>
      <c r="T648" s="750"/>
      <c r="U648" s="750"/>
      <c r="V648" s="750"/>
      <c r="W648" s="750"/>
      <c r="X648" s="750"/>
      <c r="Y648" s="750"/>
      <c r="Z648" s="750"/>
      <c r="AA648" s="750"/>
      <c r="AB648" s="750"/>
      <c r="AC648" s="750"/>
      <c r="AD648" s="750"/>
      <c r="AE648" s="750"/>
      <c r="AF648" s="750"/>
      <c r="AG648" s="750"/>
      <c r="AH648" s="750"/>
      <c r="AI648" s="750"/>
      <c r="AJ648" s="750"/>
      <c r="AK648" s="750"/>
      <c r="AL648" s="750"/>
      <c r="AM648" s="55"/>
    </row>
    <row r="649" spans="1:39" s="231" customFormat="1" ht="12.75" customHeight="1">
      <c r="A649" s="1"/>
      <c r="B649" s="1"/>
      <c r="C649" s="2"/>
      <c r="D649" s="1"/>
      <c r="E649" s="248"/>
      <c r="F649" s="750"/>
      <c r="G649" s="750"/>
      <c r="H649" s="750"/>
      <c r="I649" s="750"/>
      <c r="J649" s="750"/>
      <c r="K649" s="750"/>
      <c r="L649" s="750"/>
      <c r="M649" s="750"/>
      <c r="N649" s="750"/>
      <c r="O649" s="750"/>
      <c r="P649" s="750"/>
      <c r="Q649" s="750"/>
      <c r="R649" s="750"/>
      <c r="S649" s="750"/>
      <c r="T649" s="750"/>
      <c r="U649" s="750"/>
      <c r="V649" s="750"/>
      <c r="W649" s="750"/>
      <c r="X649" s="750"/>
      <c r="Y649" s="750"/>
      <c r="Z649" s="750"/>
      <c r="AA649" s="750"/>
      <c r="AB649" s="750"/>
      <c r="AC649" s="750"/>
      <c r="AD649" s="750"/>
      <c r="AE649" s="750"/>
      <c r="AF649" s="750"/>
      <c r="AG649" s="750"/>
      <c r="AH649" s="750"/>
      <c r="AI649" s="750"/>
      <c r="AJ649" s="750"/>
      <c r="AK649" s="750"/>
      <c r="AL649" s="750"/>
      <c r="AM649" s="55"/>
    </row>
    <row r="650" spans="1:39" s="231" customFormat="1" ht="99" customHeight="1">
      <c r="A650" s="1"/>
      <c r="B650" s="1"/>
      <c r="C650" s="2"/>
      <c r="D650" s="1"/>
      <c r="E650" s="248"/>
      <c r="F650" s="750"/>
      <c r="G650" s="750"/>
      <c r="H650" s="750"/>
      <c r="I650" s="750"/>
      <c r="J650" s="750"/>
      <c r="K650" s="750"/>
      <c r="L650" s="750"/>
      <c r="M650" s="750"/>
      <c r="N650" s="750"/>
      <c r="O650" s="750"/>
      <c r="P650" s="750"/>
      <c r="Q650" s="750"/>
      <c r="R650" s="750"/>
      <c r="S650" s="750"/>
      <c r="T650" s="750"/>
      <c r="U650" s="750"/>
      <c r="V650" s="750"/>
      <c r="W650" s="750"/>
      <c r="X650" s="750"/>
      <c r="Y650" s="750"/>
      <c r="Z650" s="750"/>
      <c r="AA650" s="750"/>
      <c r="AB650" s="750"/>
      <c r="AC650" s="750"/>
      <c r="AD650" s="750"/>
      <c r="AE650" s="750"/>
      <c r="AF650" s="750"/>
      <c r="AG650" s="750"/>
      <c r="AH650" s="750"/>
      <c r="AI650" s="750"/>
      <c r="AJ650" s="750"/>
      <c r="AK650" s="750"/>
      <c r="AL650" s="750"/>
      <c r="AM650" s="55"/>
    </row>
    <row r="651" spans="1:39" s="231" customFormat="1" ht="27" customHeight="1">
      <c r="A651" s="1"/>
      <c r="B651" s="1"/>
      <c r="C651" s="2"/>
      <c r="D651" s="1"/>
      <c r="E651" s="248"/>
      <c r="F651" s="750"/>
      <c r="G651" s="750"/>
      <c r="H651" s="750"/>
      <c r="I651" s="750"/>
      <c r="J651" s="750"/>
      <c r="K651" s="750"/>
      <c r="L651" s="750"/>
      <c r="M651" s="750"/>
      <c r="N651" s="750"/>
      <c r="O651" s="750"/>
      <c r="P651" s="750"/>
      <c r="Q651" s="750"/>
      <c r="R651" s="750"/>
      <c r="S651" s="750"/>
      <c r="T651" s="750"/>
      <c r="U651" s="750"/>
      <c r="V651" s="750"/>
      <c r="W651" s="750"/>
      <c r="X651" s="750"/>
      <c r="Y651" s="750"/>
      <c r="Z651" s="750"/>
      <c r="AA651" s="750"/>
      <c r="AB651" s="750"/>
      <c r="AC651" s="750"/>
      <c r="AD651" s="750"/>
      <c r="AE651" s="750"/>
      <c r="AF651" s="750"/>
      <c r="AG651" s="750"/>
      <c r="AH651" s="750"/>
      <c r="AI651" s="750"/>
      <c r="AJ651" s="750"/>
      <c r="AK651" s="750"/>
      <c r="AL651" s="750"/>
      <c r="AM651" s="224"/>
    </row>
    <row r="652" spans="1:39" s="231" customFormat="1" ht="12.75" customHeight="1">
      <c r="A652" s="1"/>
      <c r="B652" s="1"/>
      <c r="C652" s="2"/>
      <c r="D652" s="1"/>
      <c r="E652" s="248"/>
      <c r="F652" s="751" t="s">
        <v>1362</v>
      </c>
      <c r="G652" s="751"/>
      <c r="H652" s="751"/>
      <c r="I652" s="751"/>
      <c r="J652" s="751"/>
      <c r="K652" s="751"/>
      <c r="L652" s="751"/>
      <c r="M652" s="751"/>
      <c r="N652" s="751"/>
      <c r="O652" s="751"/>
      <c r="P652" s="751"/>
      <c r="Q652" s="751"/>
      <c r="R652" s="751"/>
      <c r="S652" s="751"/>
      <c r="T652" s="751"/>
      <c r="U652" s="751"/>
      <c r="V652" s="751"/>
      <c r="W652" s="751"/>
      <c r="X652" s="751"/>
      <c r="Y652" s="751"/>
      <c r="Z652" s="751"/>
      <c r="AA652" s="751"/>
      <c r="AB652" s="751"/>
      <c r="AC652" s="751"/>
      <c r="AD652" s="751"/>
      <c r="AE652" s="751"/>
      <c r="AF652" s="751"/>
      <c r="AG652" s="751"/>
      <c r="AH652" s="751"/>
      <c r="AI652" s="751"/>
      <c r="AJ652" s="751"/>
      <c r="AK652" s="751"/>
      <c r="AL652" s="751"/>
      <c r="AM652" s="284"/>
    </row>
    <row r="653" spans="1:39" s="231" customFormat="1" ht="12.75" customHeight="1">
      <c r="A653" s="1"/>
      <c r="B653" s="1"/>
      <c r="C653" s="2"/>
      <c r="D653" s="1"/>
      <c r="E653" s="248"/>
      <c r="F653" s="751"/>
      <c r="G653" s="751"/>
      <c r="H653" s="751"/>
      <c r="I653" s="751"/>
      <c r="J653" s="751"/>
      <c r="K653" s="751"/>
      <c r="L653" s="751"/>
      <c r="M653" s="751"/>
      <c r="N653" s="751"/>
      <c r="O653" s="751"/>
      <c r="P653" s="751"/>
      <c r="Q653" s="751"/>
      <c r="R653" s="751"/>
      <c r="S653" s="751"/>
      <c r="T653" s="751"/>
      <c r="U653" s="751"/>
      <c r="V653" s="751"/>
      <c r="W653" s="751"/>
      <c r="X653" s="751"/>
      <c r="Y653" s="751"/>
      <c r="Z653" s="751"/>
      <c r="AA653" s="751"/>
      <c r="AB653" s="751"/>
      <c r="AC653" s="751"/>
      <c r="AD653" s="751"/>
      <c r="AE653" s="751"/>
      <c r="AF653" s="751"/>
      <c r="AG653" s="751"/>
      <c r="AH653" s="751"/>
      <c r="AI653" s="751"/>
      <c r="AJ653" s="751"/>
      <c r="AK653" s="751"/>
      <c r="AL653" s="751"/>
      <c r="AM653" s="284"/>
    </row>
    <row r="654" spans="1:39" s="231" customFormat="1" ht="63.75" customHeight="1">
      <c r="A654" s="1"/>
      <c r="B654" s="1"/>
      <c r="C654" s="2"/>
      <c r="D654" s="1"/>
      <c r="E654" s="248"/>
      <c r="F654" s="751"/>
      <c r="G654" s="751"/>
      <c r="H654" s="751"/>
      <c r="I654" s="751"/>
      <c r="J654" s="751"/>
      <c r="K654" s="751"/>
      <c r="L654" s="751"/>
      <c r="M654" s="751"/>
      <c r="N654" s="751"/>
      <c r="O654" s="751"/>
      <c r="P654" s="751"/>
      <c r="Q654" s="751"/>
      <c r="R654" s="751"/>
      <c r="S654" s="751"/>
      <c r="T654" s="751"/>
      <c r="U654" s="751"/>
      <c r="V654" s="751"/>
      <c r="W654" s="751"/>
      <c r="X654" s="751"/>
      <c r="Y654" s="751"/>
      <c r="Z654" s="751"/>
      <c r="AA654" s="751"/>
      <c r="AB654" s="751"/>
      <c r="AC654" s="751"/>
      <c r="AD654" s="751"/>
      <c r="AE654" s="751"/>
      <c r="AF654" s="751"/>
      <c r="AG654" s="751"/>
      <c r="AH654" s="751"/>
      <c r="AI654" s="751"/>
      <c r="AJ654" s="751"/>
      <c r="AK654" s="751"/>
      <c r="AL654" s="751"/>
      <c r="AM654" s="284"/>
    </row>
    <row r="655" spans="1:39" s="231" customFormat="1" ht="114" customHeight="1">
      <c r="A655" s="1"/>
      <c r="B655" s="1"/>
      <c r="C655" s="2"/>
      <c r="D655" s="1"/>
      <c r="E655" s="248"/>
      <c r="F655" s="751" t="s">
        <v>1421</v>
      </c>
      <c r="G655" s="751"/>
      <c r="H655" s="751"/>
      <c r="I655" s="751"/>
      <c r="J655" s="751"/>
      <c r="K655" s="751"/>
      <c r="L655" s="751"/>
      <c r="M655" s="751"/>
      <c r="N655" s="751"/>
      <c r="O655" s="751"/>
      <c r="P655" s="751"/>
      <c r="Q655" s="751"/>
      <c r="R655" s="751"/>
      <c r="S655" s="751"/>
      <c r="T655" s="751"/>
      <c r="U655" s="751"/>
      <c r="V655" s="751"/>
      <c r="W655" s="751"/>
      <c r="X655" s="751"/>
      <c r="Y655" s="751"/>
      <c r="Z655" s="751"/>
      <c r="AA655" s="751"/>
      <c r="AB655" s="751"/>
      <c r="AC655" s="751"/>
      <c r="AD655" s="751"/>
      <c r="AE655" s="751"/>
      <c r="AF655" s="751"/>
      <c r="AG655" s="751"/>
      <c r="AH655" s="751"/>
      <c r="AI655" s="751"/>
      <c r="AJ655" s="751"/>
      <c r="AK655" s="751"/>
      <c r="AL655" s="751"/>
      <c r="AM655" s="284"/>
    </row>
    <row r="656" spans="1:39" s="231" customFormat="1" ht="42.95" customHeight="1">
      <c r="A656" s="1"/>
      <c r="B656" s="1"/>
      <c r="C656" s="2"/>
      <c r="D656" s="1"/>
      <c r="E656" s="248"/>
      <c r="F656" s="751" t="s">
        <v>1663</v>
      </c>
      <c r="G656" s="751"/>
      <c r="H656" s="751"/>
      <c r="I656" s="751"/>
      <c r="J656" s="751"/>
      <c r="K656" s="751"/>
      <c r="L656" s="751"/>
      <c r="M656" s="751"/>
      <c r="N656" s="751"/>
      <c r="O656" s="751"/>
      <c r="P656" s="751"/>
      <c r="Q656" s="751"/>
      <c r="R656" s="751"/>
      <c r="S656" s="751"/>
      <c r="T656" s="751"/>
      <c r="U656" s="751"/>
      <c r="V656" s="751"/>
      <c r="W656" s="751"/>
      <c r="X656" s="751"/>
      <c r="Y656" s="751"/>
      <c r="Z656" s="751"/>
      <c r="AA656" s="751"/>
      <c r="AB656" s="751"/>
      <c r="AC656" s="751"/>
      <c r="AD656" s="751"/>
      <c r="AE656" s="751"/>
      <c r="AF656" s="751"/>
      <c r="AG656" s="751"/>
      <c r="AH656" s="751"/>
      <c r="AI656" s="751"/>
      <c r="AJ656" s="751"/>
      <c r="AK656" s="751"/>
      <c r="AL656" s="751"/>
      <c r="AM656" s="284"/>
    </row>
    <row r="657" spans="1:39" s="368" customFormat="1" ht="11.25" customHeight="1">
      <c r="A657" s="1"/>
      <c r="B657" s="1"/>
      <c r="C657" s="2"/>
      <c r="D657" s="1"/>
      <c r="E657" s="371"/>
      <c r="F657" s="373"/>
      <c r="G657" s="373"/>
      <c r="H657" s="373"/>
      <c r="I657" s="373"/>
      <c r="J657" s="373"/>
      <c r="K657" s="373"/>
      <c r="L657" s="373"/>
      <c r="M657" s="373"/>
      <c r="N657" s="373"/>
      <c r="O657" s="373"/>
      <c r="P657" s="373"/>
      <c r="Q657" s="373"/>
      <c r="R657" s="373"/>
      <c r="S657" s="373"/>
      <c r="T657" s="373"/>
      <c r="U657" s="373"/>
      <c r="V657" s="373"/>
      <c r="W657" s="373"/>
      <c r="X657" s="373"/>
      <c r="Y657" s="373"/>
      <c r="Z657" s="373"/>
      <c r="AA657" s="373"/>
      <c r="AB657" s="373"/>
      <c r="AC657" s="373"/>
      <c r="AD657" s="373"/>
      <c r="AE657" s="373"/>
      <c r="AF657" s="373"/>
      <c r="AG657" s="373"/>
      <c r="AH657" s="373"/>
      <c r="AI657" s="373"/>
      <c r="AJ657" s="373"/>
      <c r="AK657" s="373"/>
      <c r="AL657" s="373"/>
      <c r="AM657" s="284"/>
    </row>
    <row r="658" spans="1:39" s="361" customFormat="1" ht="13.5" customHeight="1">
      <c r="A658" s="1"/>
      <c r="B658" s="1"/>
      <c r="C658" s="2"/>
      <c r="D658" s="1"/>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358" t="s">
        <v>24</v>
      </c>
      <c r="AK658" s="612">
        <v>10</v>
      </c>
      <c r="AL658" s="612"/>
      <c r="AM658" s="358" t="s">
        <v>24</v>
      </c>
    </row>
    <row r="659" spans="1:39" s="361" customFormat="1" ht="14.25" customHeight="1">
      <c r="A659" s="1"/>
      <c r="B659" s="1"/>
      <c r="C659" s="2"/>
      <c r="D659" s="1"/>
      <c r="E659" s="363"/>
      <c r="F659" s="359"/>
      <c r="G659" s="359"/>
      <c r="H659" s="359"/>
      <c r="I659" s="359"/>
      <c r="J659" s="359"/>
      <c r="K659" s="359"/>
      <c r="L659" s="359"/>
      <c r="M659" s="359"/>
      <c r="N659" s="359"/>
      <c r="O659" s="359"/>
      <c r="P659" s="359"/>
      <c r="Q659" s="359"/>
      <c r="R659" s="359"/>
      <c r="S659" s="359"/>
      <c r="T659" s="359"/>
      <c r="U659" s="359"/>
      <c r="V659" s="359"/>
      <c r="W659" s="359"/>
      <c r="X659" s="359"/>
      <c r="Y659" s="359"/>
      <c r="Z659" s="359"/>
      <c r="AA659" s="359"/>
      <c r="AB659" s="359"/>
      <c r="AC659" s="359"/>
      <c r="AD659" s="359"/>
      <c r="AE659" s="359"/>
      <c r="AF659" s="359"/>
      <c r="AG659" s="359"/>
      <c r="AH659" s="359"/>
      <c r="AI659" s="359"/>
      <c r="AJ659" s="359"/>
      <c r="AK659" s="359"/>
      <c r="AL659" s="359"/>
      <c r="AM659" s="284"/>
    </row>
    <row r="660" spans="1:39" s="361" customFormat="1" ht="13.5" customHeight="1">
      <c r="A660" s="1"/>
      <c r="B660" s="1"/>
      <c r="C660" s="2"/>
      <c r="D660" s="1"/>
      <c r="E660" s="363"/>
      <c r="F660" s="359"/>
      <c r="G660" s="359"/>
      <c r="H660" s="359"/>
      <c r="I660" s="359"/>
      <c r="J660" s="359"/>
      <c r="K660" s="359"/>
      <c r="L660" s="359"/>
      <c r="M660" s="359"/>
      <c r="N660" s="359"/>
      <c r="O660" s="359"/>
      <c r="P660" s="359"/>
      <c r="Q660" s="359"/>
      <c r="R660" s="359"/>
      <c r="S660" s="359"/>
      <c r="T660" s="359"/>
      <c r="U660" s="359"/>
      <c r="V660" s="359"/>
      <c r="W660" s="359"/>
      <c r="X660" s="359"/>
      <c r="Y660" s="359"/>
      <c r="Z660" s="359"/>
      <c r="AA660" s="359"/>
      <c r="AB660" s="359"/>
      <c r="AC660" s="359"/>
      <c r="AD660" s="359"/>
      <c r="AE660" s="359"/>
      <c r="AF660" s="359"/>
      <c r="AG660" s="359"/>
      <c r="AH660" s="359"/>
      <c r="AI660" s="359"/>
      <c r="AJ660" s="359"/>
      <c r="AK660" s="359"/>
      <c r="AL660" s="359"/>
      <c r="AM660" s="284"/>
    </row>
    <row r="661" spans="1:39" s="361" customFormat="1" ht="13.5" customHeight="1">
      <c r="A661" s="1"/>
      <c r="B661" s="1"/>
      <c r="C661" s="2"/>
      <c r="D661" s="1"/>
      <c r="E661" s="376" t="str">
        <f>UPPER($Y$28)</f>
        <v>ПТ ЛОМБАРД "МЕРКУРІЙ"</v>
      </c>
      <c r="F661" s="376"/>
      <c r="G661" s="376"/>
      <c r="H661" s="376"/>
      <c r="I661" s="376"/>
      <c r="J661" s="376"/>
      <c r="K661" s="376"/>
      <c r="L661" s="376"/>
      <c r="M661" s="376"/>
      <c r="N661" s="376"/>
      <c r="O661" s="376"/>
      <c r="P661" s="376"/>
      <c r="Q661" s="376"/>
      <c r="R661" s="376"/>
      <c r="S661" s="376"/>
      <c r="T661" s="376"/>
      <c r="U661" s="376"/>
      <c r="V661" s="376"/>
      <c r="W661" s="376"/>
      <c r="X661" s="376"/>
      <c r="Y661" s="376"/>
      <c r="Z661" s="376"/>
      <c r="AA661" s="376"/>
      <c r="AB661" s="376"/>
      <c r="AC661" s="376"/>
      <c r="AD661" s="376"/>
      <c r="AE661" s="376"/>
      <c r="AF661" s="376"/>
      <c r="AG661" s="376"/>
      <c r="AH661" s="376"/>
      <c r="AI661" s="376"/>
      <c r="AJ661" s="376"/>
      <c r="AK661" s="376"/>
      <c r="AL661" s="376"/>
      <c r="AM661" s="376"/>
    </row>
    <row r="662" spans="1:39" s="361" customFormat="1" ht="14.25" customHeight="1">
      <c r="A662" s="1"/>
      <c r="B662" s="1"/>
      <c r="C662" s="2"/>
      <c r="D662" s="1"/>
      <c r="E662" s="269" t="s">
        <v>143</v>
      </c>
      <c r="F662" s="269"/>
      <c r="G662" s="269"/>
      <c r="H662" s="269"/>
      <c r="I662" s="269"/>
      <c r="J662" s="269"/>
      <c r="K662" s="269"/>
      <c r="L662" s="269"/>
      <c r="M662" s="269"/>
      <c r="N662" s="269"/>
      <c r="O662" s="269"/>
      <c r="P662" s="269"/>
      <c r="Q662" s="269"/>
      <c r="R662" s="269"/>
      <c r="S662" s="269"/>
      <c r="T662" s="269"/>
      <c r="U662" s="269"/>
      <c r="V662" s="269"/>
      <c r="W662" s="269"/>
      <c r="X662" s="269"/>
      <c r="Y662" s="269"/>
      <c r="Z662" s="269"/>
      <c r="AA662" s="269"/>
      <c r="AB662" s="269"/>
      <c r="AC662" s="269"/>
      <c r="AD662" s="269"/>
      <c r="AE662" s="269"/>
      <c r="AF662" s="269"/>
      <c r="AG662" s="269"/>
      <c r="AH662" s="269"/>
      <c r="AI662" s="269"/>
      <c r="AJ662" s="269"/>
      <c r="AK662" s="269"/>
      <c r="AL662" s="269"/>
      <c r="AM662" s="269"/>
    </row>
    <row r="663" spans="1:39" s="361" customFormat="1" ht="14.25" customHeight="1">
      <c r="A663" s="1"/>
      <c r="B663" s="1"/>
      <c r="C663" s="2"/>
      <c r="D663" s="1"/>
      <c r="E663" s="269" t="str">
        <f>$E$274</f>
        <v>ЗА РІК, ЩО ЗАКІНЧИВСЯ 31 ГРУДНЯ 2020 РОКУ</v>
      </c>
      <c r="F663" s="269"/>
      <c r="G663" s="269"/>
      <c r="H663" s="269"/>
      <c r="I663" s="269"/>
      <c r="J663" s="269"/>
      <c r="K663" s="269"/>
      <c r="L663" s="269"/>
      <c r="M663" s="269"/>
      <c r="N663" s="269"/>
      <c r="O663" s="269"/>
      <c r="P663" s="269"/>
      <c r="Q663" s="269"/>
      <c r="R663" s="269"/>
      <c r="S663" s="269"/>
      <c r="T663" s="269"/>
      <c r="U663" s="269"/>
      <c r="V663" s="269"/>
      <c r="W663" s="269"/>
      <c r="X663" s="269"/>
      <c r="Y663" s="269"/>
      <c r="Z663" s="269"/>
      <c r="AA663" s="269"/>
      <c r="AB663" s="269"/>
      <c r="AC663" s="269"/>
      <c r="AD663" s="269"/>
      <c r="AE663" s="269"/>
      <c r="AF663" s="269"/>
      <c r="AG663" s="269"/>
      <c r="AH663" s="269"/>
      <c r="AI663" s="269"/>
      <c r="AJ663" s="269"/>
      <c r="AK663" s="269"/>
      <c r="AL663" s="269"/>
      <c r="AM663" s="269"/>
    </row>
    <row r="664" spans="1:39" s="361" customFormat="1" ht="14.25" customHeight="1">
      <c r="A664" s="1"/>
      <c r="B664" s="1"/>
      <c r="C664" s="2"/>
      <c r="D664" s="1"/>
      <c r="E664" s="244" t="str">
        <f>$E$209</f>
        <v>(в тисячах гривень, якщо не вказано інше)</v>
      </c>
      <c r="F664" s="244"/>
      <c r="G664" s="244"/>
      <c r="H664" s="244"/>
      <c r="I664" s="244"/>
      <c r="J664" s="244"/>
      <c r="K664" s="244"/>
      <c r="L664" s="244"/>
      <c r="M664" s="244"/>
      <c r="N664" s="244"/>
      <c r="O664" s="244"/>
      <c r="P664" s="244"/>
      <c r="Q664" s="244"/>
      <c r="R664" s="244"/>
      <c r="S664" s="244"/>
      <c r="T664" s="244"/>
      <c r="U664" s="244"/>
      <c r="V664" s="244"/>
      <c r="W664" s="244"/>
      <c r="X664" s="244"/>
      <c r="Y664" s="244"/>
      <c r="Z664" s="244"/>
      <c r="AA664" s="244"/>
      <c r="AB664" s="244"/>
      <c r="AC664" s="244"/>
      <c r="AD664" s="244"/>
      <c r="AE664" s="244"/>
      <c r="AF664" s="244"/>
      <c r="AG664" s="244"/>
      <c r="AH664" s="244"/>
      <c r="AI664" s="244"/>
      <c r="AJ664" s="244"/>
      <c r="AK664" s="244"/>
      <c r="AL664" s="244"/>
      <c r="AM664" s="244"/>
    </row>
    <row r="665" spans="1:39" s="361" customFormat="1" ht="13.5" customHeight="1">
      <c r="A665" s="1"/>
      <c r="B665" s="1"/>
      <c r="C665" s="2"/>
      <c r="D665" s="1"/>
      <c r="E665" s="363"/>
      <c r="F665" s="359"/>
      <c r="G665" s="359"/>
      <c r="H665" s="359"/>
      <c r="I665" s="359"/>
      <c r="J665" s="359"/>
      <c r="K665" s="359"/>
      <c r="L665" s="359"/>
      <c r="M665" s="359"/>
      <c r="N665" s="359"/>
      <c r="O665" s="359"/>
      <c r="P665" s="359"/>
      <c r="Q665" s="359"/>
      <c r="R665" s="359"/>
      <c r="S665" s="359"/>
      <c r="T665" s="359"/>
      <c r="U665" s="359"/>
      <c r="V665" s="359"/>
      <c r="W665" s="359"/>
      <c r="X665" s="359"/>
      <c r="Y665" s="359"/>
      <c r="Z665" s="359"/>
      <c r="AA665" s="359"/>
      <c r="AB665" s="359"/>
      <c r="AC665" s="359"/>
      <c r="AD665" s="359"/>
      <c r="AE665" s="359"/>
      <c r="AF665" s="359"/>
      <c r="AG665" s="359"/>
      <c r="AH665" s="359"/>
      <c r="AI665" s="359"/>
      <c r="AJ665" s="359"/>
      <c r="AK665" s="359"/>
      <c r="AL665" s="359"/>
      <c r="AM665" s="284"/>
    </row>
    <row r="666" spans="1:39" s="231" customFormat="1" ht="14.1" customHeight="1">
      <c r="A666" s="1"/>
      <c r="B666" s="1"/>
      <c r="C666" s="2"/>
      <c r="D666" s="1"/>
      <c r="E666" s="248"/>
      <c r="F666" s="55" t="s">
        <v>1363</v>
      </c>
      <c r="G666" s="55"/>
      <c r="H666" s="661" t="s">
        <v>194</v>
      </c>
      <c r="I666" s="661"/>
      <c r="J666" s="661"/>
      <c r="K666" s="661"/>
      <c r="L666" s="661"/>
      <c r="M666" s="661"/>
      <c r="N666" s="661"/>
      <c r="O666" s="661"/>
      <c r="P666" s="661"/>
      <c r="Q666" s="661"/>
      <c r="R666" s="661"/>
      <c r="S666" s="661"/>
      <c r="T666" s="661"/>
      <c r="U666" s="661"/>
      <c r="V666" s="661"/>
      <c r="W666" s="661"/>
      <c r="X666" s="661"/>
      <c r="Y666" s="661"/>
      <c r="Z666" s="661"/>
      <c r="AA666" s="661"/>
      <c r="AB666" s="661"/>
      <c r="AC666" s="661"/>
      <c r="AD666" s="661"/>
      <c r="AE666" s="661"/>
      <c r="AF666" s="661"/>
      <c r="AG666" s="661"/>
      <c r="AH666" s="661"/>
      <c r="AI666" s="661"/>
      <c r="AJ666" s="661"/>
      <c r="AK666" s="661"/>
      <c r="AL666" s="55"/>
      <c r="AM666" s="55"/>
    </row>
    <row r="667" spans="1:39" ht="12.75" customHeight="1">
      <c r="E667" s="54"/>
      <c r="F667" s="569" t="s">
        <v>196</v>
      </c>
      <c r="G667" s="569"/>
      <c r="H667" s="569"/>
      <c r="I667" s="569"/>
      <c r="J667" s="569"/>
      <c r="K667" s="569"/>
      <c r="L667" s="569"/>
      <c r="M667" s="569"/>
      <c r="N667" s="569"/>
      <c r="O667" s="569"/>
      <c r="P667" s="569"/>
      <c r="Q667" s="569"/>
      <c r="R667" s="569"/>
      <c r="S667" s="569"/>
      <c r="T667" s="569"/>
      <c r="U667" s="569"/>
      <c r="V667" s="569"/>
      <c r="W667" s="569"/>
      <c r="X667" s="569"/>
      <c r="Y667" s="569"/>
      <c r="Z667" s="569"/>
      <c r="AA667" s="569"/>
      <c r="AB667" s="569"/>
      <c r="AC667" s="569"/>
      <c r="AD667" s="569"/>
      <c r="AE667" s="569"/>
      <c r="AF667" s="569"/>
      <c r="AG667" s="569"/>
      <c r="AH667" s="569"/>
      <c r="AI667" s="569"/>
      <c r="AJ667" s="569"/>
      <c r="AK667" s="569"/>
      <c r="AL667" s="569"/>
      <c r="AM667" s="249"/>
    </row>
    <row r="668" spans="1:39" ht="15.75" customHeight="1">
      <c r="E668" s="54"/>
      <c r="F668" s="569"/>
      <c r="G668" s="569"/>
      <c r="H668" s="569"/>
      <c r="I668" s="569"/>
      <c r="J668" s="569"/>
      <c r="K668" s="569"/>
      <c r="L668" s="569"/>
      <c r="M668" s="569"/>
      <c r="N668" s="569"/>
      <c r="O668" s="569"/>
      <c r="P668" s="569"/>
      <c r="Q668" s="569"/>
      <c r="R668" s="569"/>
      <c r="S668" s="569"/>
      <c r="T668" s="569"/>
      <c r="U668" s="569"/>
      <c r="V668" s="569"/>
      <c r="W668" s="569"/>
      <c r="X668" s="569"/>
      <c r="Y668" s="569"/>
      <c r="Z668" s="569"/>
      <c r="AA668" s="569"/>
      <c r="AB668" s="569"/>
      <c r="AC668" s="569"/>
      <c r="AD668" s="569"/>
      <c r="AE668" s="569"/>
      <c r="AF668" s="569"/>
      <c r="AG668" s="569"/>
      <c r="AH668" s="569"/>
      <c r="AI668" s="569"/>
      <c r="AJ668" s="569"/>
      <c r="AK668" s="569"/>
      <c r="AL668" s="569"/>
      <c r="AM668" s="249"/>
    </row>
    <row r="669" spans="1:39" ht="12.75" customHeight="1">
      <c r="E669" s="54"/>
      <c r="F669" s="569" t="s">
        <v>197</v>
      </c>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569"/>
      <c r="AE669" s="569"/>
      <c r="AF669" s="569"/>
      <c r="AG669" s="569"/>
      <c r="AH669" s="569"/>
      <c r="AI669" s="569"/>
      <c r="AJ669" s="569"/>
      <c r="AK669" s="569"/>
      <c r="AL669" s="569"/>
      <c r="AM669" s="249"/>
    </row>
    <row r="670" spans="1:39">
      <c r="E670" s="54"/>
      <c r="F670" s="569"/>
      <c r="G670" s="569"/>
      <c r="H670" s="569"/>
      <c r="I670" s="569"/>
      <c r="J670" s="569"/>
      <c r="K670" s="569"/>
      <c r="L670" s="569"/>
      <c r="M670" s="569"/>
      <c r="N670" s="569"/>
      <c r="O670" s="569"/>
      <c r="P670" s="569"/>
      <c r="Q670" s="569"/>
      <c r="R670" s="569"/>
      <c r="S670" s="569"/>
      <c r="T670" s="569"/>
      <c r="U670" s="569"/>
      <c r="V670" s="569"/>
      <c r="W670" s="569"/>
      <c r="X670" s="569"/>
      <c r="Y670" s="569"/>
      <c r="Z670" s="569"/>
      <c r="AA670" s="569"/>
      <c r="AB670" s="569"/>
      <c r="AC670" s="569"/>
      <c r="AD670" s="569"/>
      <c r="AE670" s="569"/>
      <c r="AF670" s="569"/>
      <c r="AG670" s="569"/>
      <c r="AH670" s="569"/>
      <c r="AI670" s="569"/>
      <c r="AJ670" s="569"/>
      <c r="AK670" s="569"/>
      <c r="AL670" s="569"/>
      <c r="AM670" s="249"/>
    </row>
    <row r="671" spans="1:39">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c r="AG671" s="54"/>
      <c r="AH671" s="54"/>
      <c r="AI671" s="54"/>
      <c r="AJ671" s="54"/>
      <c r="AK671" s="54"/>
      <c r="AL671" s="54"/>
      <c r="AM671" s="54"/>
    </row>
    <row r="672" spans="1:39" ht="12.75" customHeight="1">
      <c r="E672" s="54"/>
      <c r="F672" s="569" t="s">
        <v>198</v>
      </c>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569"/>
      <c r="AF672" s="569"/>
      <c r="AG672" s="569"/>
      <c r="AH672" s="569"/>
      <c r="AI672" s="569"/>
      <c r="AJ672" s="569"/>
      <c r="AK672" s="569"/>
      <c r="AL672" s="569"/>
      <c r="AM672" s="249"/>
    </row>
    <row r="673" spans="1:39">
      <c r="E673" s="54"/>
      <c r="F673" s="569"/>
      <c r="G673" s="569"/>
      <c r="H673" s="569"/>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69"/>
      <c r="AL673" s="569"/>
      <c r="AM673" s="249"/>
    </row>
    <row r="674" spans="1:39" ht="25.5" customHeight="1">
      <c r="E674" s="54"/>
      <c r="F674" s="569"/>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M674" s="249"/>
    </row>
    <row r="675" spans="1:39">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c r="AG675" s="54"/>
      <c r="AH675" s="54"/>
      <c r="AI675" s="54"/>
      <c r="AJ675" s="54"/>
      <c r="AK675" s="54"/>
      <c r="AL675" s="54"/>
      <c r="AM675" s="54"/>
    </row>
    <row r="676" spans="1:39" ht="12.75" customHeight="1">
      <c r="E676" s="54"/>
      <c r="F676" s="569" t="s">
        <v>199</v>
      </c>
      <c r="G676" s="56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69"/>
      <c r="AL676" s="569"/>
      <c r="AM676" s="249"/>
    </row>
    <row r="677" spans="1:39">
      <c r="E677" s="54"/>
      <c r="F677" s="569"/>
      <c r="G677" s="56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69"/>
      <c r="AL677" s="569"/>
      <c r="AM677" s="249"/>
    </row>
    <row r="678" spans="1:39">
      <c r="E678" s="54"/>
      <c r="F678" s="569"/>
      <c r="G678" s="56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69"/>
      <c r="AL678" s="569"/>
      <c r="AM678" s="249"/>
    </row>
    <row r="679" spans="1:39">
      <c r="E679" s="54"/>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M679" s="249"/>
    </row>
    <row r="680" spans="1:39" ht="26.25" customHeight="1">
      <c r="E680" s="54"/>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69"/>
      <c r="AB680" s="569"/>
      <c r="AC680" s="569"/>
      <c r="AD680" s="569"/>
      <c r="AE680" s="569"/>
      <c r="AF680" s="569"/>
      <c r="AG680" s="569"/>
      <c r="AH680" s="569"/>
      <c r="AI680" s="569"/>
      <c r="AJ680" s="569"/>
      <c r="AK680" s="569"/>
      <c r="AL680" s="569"/>
      <c r="AM680" s="249"/>
    </row>
    <row r="681" spans="1:39" s="361" customFormat="1" ht="12.75" customHeight="1">
      <c r="A681" s="1"/>
      <c r="B681" s="1"/>
      <c r="C681" s="2"/>
      <c r="D681" s="1"/>
      <c r="E681" s="363"/>
      <c r="F681" s="354"/>
      <c r="G681" s="354"/>
      <c r="H681" s="354"/>
      <c r="I681" s="354"/>
      <c r="J681" s="354"/>
      <c r="K681" s="354"/>
      <c r="L681" s="354"/>
      <c r="M681" s="354"/>
      <c r="N681" s="354"/>
      <c r="O681" s="354"/>
      <c r="P681" s="354"/>
      <c r="Q681" s="354"/>
      <c r="R681" s="354"/>
      <c r="S681" s="354"/>
      <c r="T681" s="354"/>
      <c r="U681" s="354"/>
      <c r="V681" s="354"/>
      <c r="W681" s="354"/>
      <c r="X681" s="354"/>
      <c r="Y681" s="354"/>
      <c r="Z681" s="354"/>
      <c r="AA681" s="354"/>
      <c r="AB681" s="354"/>
      <c r="AC681" s="354"/>
      <c r="AD681" s="354"/>
      <c r="AE681" s="354"/>
      <c r="AF681" s="354"/>
      <c r="AG681" s="354"/>
      <c r="AH681" s="354"/>
      <c r="AI681" s="354"/>
      <c r="AJ681" s="354"/>
      <c r="AK681" s="354"/>
      <c r="AL681" s="354"/>
      <c r="AM681" s="360"/>
    </row>
    <row r="682" spans="1:39" ht="14.1" customHeight="1">
      <c r="E682" s="54"/>
      <c r="F682" s="569" t="s">
        <v>200</v>
      </c>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M682" s="249"/>
    </row>
    <row r="683" spans="1:39">
      <c r="E683" s="54"/>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9"/>
      <c r="AF683" s="569"/>
      <c r="AG683" s="569"/>
      <c r="AH683" s="569"/>
      <c r="AI683" s="569"/>
      <c r="AJ683" s="569"/>
      <c r="AK683" s="569"/>
      <c r="AL683" s="569"/>
      <c r="AM683" s="249"/>
    </row>
    <row r="684" spans="1:39">
      <c r="E684" s="54"/>
      <c r="F684" s="569"/>
      <c r="G684" s="569"/>
      <c r="H684" s="569"/>
      <c r="I684" s="569"/>
      <c r="J684" s="569"/>
      <c r="K684" s="569"/>
      <c r="L684" s="569"/>
      <c r="M684" s="569"/>
      <c r="N684" s="569"/>
      <c r="O684" s="569"/>
      <c r="P684" s="569"/>
      <c r="Q684" s="569"/>
      <c r="R684" s="569"/>
      <c r="S684" s="569"/>
      <c r="T684" s="569"/>
      <c r="U684" s="569"/>
      <c r="V684" s="569"/>
      <c r="W684" s="569"/>
      <c r="X684" s="569"/>
      <c r="Y684" s="569"/>
      <c r="Z684" s="569"/>
      <c r="AA684" s="569"/>
      <c r="AB684" s="569"/>
      <c r="AC684" s="569"/>
      <c r="AD684" s="569"/>
      <c r="AE684" s="569"/>
      <c r="AF684" s="569"/>
      <c r="AG684" s="569"/>
      <c r="AH684" s="569"/>
      <c r="AI684" s="569"/>
      <c r="AJ684" s="569"/>
      <c r="AK684" s="569"/>
      <c r="AL684" s="569"/>
      <c r="AM684" s="249"/>
    </row>
    <row r="685" spans="1:39">
      <c r="E685" s="54"/>
      <c r="F685" s="569"/>
      <c r="G685" s="569"/>
      <c r="H685" s="569"/>
      <c r="I685" s="569"/>
      <c r="J685" s="569"/>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69"/>
      <c r="AL685" s="569"/>
      <c r="AM685" s="249"/>
    </row>
    <row r="686" spans="1:39">
      <c r="E686" s="54"/>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69"/>
      <c r="AD686" s="569"/>
      <c r="AE686" s="569"/>
      <c r="AF686" s="569"/>
      <c r="AG686" s="569"/>
      <c r="AH686" s="569"/>
      <c r="AI686" s="569"/>
      <c r="AJ686" s="569"/>
      <c r="AK686" s="569"/>
      <c r="AL686" s="569"/>
      <c r="AM686" s="249"/>
    </row>
    <row r="687" spans="1:39" ht="39.75" customHeight="1">
      <c r="E687" s="54"/>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69"/>
      <c r="AD687" s="569"/>
      <c r="AE687" s="569"/>
      <c r="AF687" s="569"/>
      <c r="AG687" s="569"/>
      <c r="AH687" s="569"/>
      <c r="AI687" s="569"/>
      <c r="AJ687" s="569"/>
      <c r="AK687" s="569"/>
      <c r="AL687" s="569"/>
      <c r="AM687" s="249"/>
    </row>
    <row r="688" spans="1:39" s="231" customFormat="1">
      <c r="A688" s="1"/>
      <c r="B688" s="1"/>
      <c r="C688" s="2"/>
      <c r="D688" s="1"/>
      <c r="E688" s="248"/>
      <c r="F688" s="248"/>
      <c r="G688" s="248"/>
      <c r="H688" s="248"/>
      <c r="I688" s="248"/>
      <c r="J688" s="248"/>
      <c r="K688" s="248"/>
      <c r="L688" s="248"/>
      <c r="M688" s="248"/>
      <c r="N688" s="248"/>
      <c r="O688" s="248"/>
      <c r="P688" s="248"/>
      <c r="Q688" s="248"/>
      <c r="R688" s="248"/>
      <c r="S688" s="248"/>
      <c r="T688" s="248"/>
      <c r="U688" s="248"/>
      <c r="V688" s="248"/>
      <c r="W688" s="248"/>
      <c r="X688" s="248"/>
      <c r="Y688" s="248"/>
      <c r="Z688" s="248"/>
      <c r="AA688" s="248"/>
      <c r="AB688" s="248"/>
      <c r="AC688" s="248"/>
      <c r="AD688" s="248"/>
      <c r="AE688" s="248"/>
      <c r="AF688" s="248"/>
      <c r="AG688" s="248"/>
      <c r="AH688" s="248"/>
      <c r="AI688" s="248"/>
      <c r="AJ688" s="248"/>
      <c r="AK688" s="248"/>
      <c r="AL688" s="248"/>
      <c r="AM688" s="248"/>
    </row>
    <row r="689" spans="1:39" s="361" customFormat="1">
      <c r="A689" s="1"/>
      <c r="B689" s="1"/>
      <c r="C689" s="2"/>
      <c r="D689" s="1"/>
      <c r="E689" s="363"/>
      <c r="F689" s="363"/>
      <c r="G689" s="363"/>
      <c r="H689" s="363"/>
      <c r="I689" s="363"/>
      <c r="J689" s="363"/>
      <c r="K689" s="363"/>
      <c r="L689" s="363"/>
      <c r="M689" s="363"/>
      <c r="N689" s="363"/>
      <c r="O689" s="363"/>
      <c r="P689" s="363"/>
      <c r="Q689" s="363"/>
      <c r="R689" s="363"/>
      <c r="S689" s="363"/>
      <c r="T689" s="363"/>
      <c r="U689" s="363"/>
      <c r="V689" s="363"/>
      <c r="W689" s="363"/>
      <c r="X689" s="363"/>
      <c r="Y689" s="363"/>
      <c r="Z689" s="363"/>
      <c r="AA689" s="363"/>
      <c r="AB689" s="363"/>
      <c r="AC689" s="363"/>
      <c r="AD689" s="363"/>
      <c r="AE689" s="363"/>
      <c r="AF689" s="363"/>
      <c r="AG689" s="363"/>
      <c r="AH689" s="363"/>
      <c r="AI689" s="363"/>
      <c r="AJ689" s="363"/>
      <c r="AK689" s="363"/>
      <c r="AL689" s="363"/>
      <c r="AM689" s="363"/>
    </row>
    <row r="690" spans="1:39" s="361" customFormat="1">
      <c r="A690" s="1"/>
      <c r="B690" s="1"/>
      <c r="C690" s="2"/>
      <c r="D690" s="1"/>
      <c r="E690" s="363"/>
      <c r="F690" s="363"/>
      <c r="G690" s="363"/>
      <c r="H690" s="363"/>
      <c r="I690" s="363"/>
      <c r="J690" s="363"/>
      <c r="K690" s="363"/>
      <c r="L690" s="363"/>
      <c r="M690" s="363"/>
      <c r="N690" s="363"/>
      <c r="O690" s="363"/>
      <c r="P690" s="363"/>
      <c r="Q690" s="363"/>
      <c r="R690" s="363"/>
      <c r="S690" s="363"/>
      <c r="T690" s="363"/>
      <c r="U690" s="363"/>
      <c r="V690" s="363"/>
      <c r="W690" s="363"/>
      <c r="X690" s="363"/>
      <c r="Y690" s="363"/>
      <c r="Z690" s="363"/>
      <c r="AA690" s="363"/>
      <c r="AB690" s="363"/>
      <c r="AC690" s="363"/>
      <c r="AD690" s="363"/>
      <c r="AE690" s="363"/>
      <c r="AF690" s="363"/>
      <c r="AG690" s="363"/>
      <c r="AH690" s="363"/>
      <c r="AI690" s="363"/>
      <c r="AJ690" s="363"/>
      <c r="AK690" s="363"/>
      <c r="AL690" s="363"/>
      <c r="AM690" s="363"/>
    </row>
    <row r="691" spans="1:39" s="361" customFormat="1">
      <c r="A691" s="1"/>
      <c r="B691" s="1"/>
      <c r="C691" s="2"/>
      <c r="D691" s="1"/>
      <c r="E691" s="363"/>
      <c r="F691" s="363"/>
      <c r="G691" s="363"/>
      <c r="H691" s="363"/>
      <c r="I691" s="363"/>
      <c r="J691" s="363"/>
      <c r="K691" s="363"/>
      <c r="L691" s="363"/>
      <c r="M691" s="363"/>
      <c r="N691" s="363"/>
      <c r="O691" s="363"/>
      <c r="P691" s="363"/>
      <c r="Q691" s="363"/>
      <c r="R691" s="363"/>
      <c r="S691" s="363"/>
      <c r="T691" s="363"/>
      <c r="U691" s="363"/>
      <c r="V691" s="363"/>
      <c r="W691" s="363"/>
      <c r="X691" s="363"/>
      <c r="Y691" s="363"/>
      <c r="Z691" s="363"/>
      <c r="AA691" s="363"/>
      <c r="AB691" s="363"/>
      <c r="AC691" s="363"/>
      <c r="AD691" s="363"/>
      <c r="AE691" s="363"/>
      <c r="AF691" s="363"/>
      <c r="AG691" s="363"/>
      <c r="AH691" s="363"/>
      <c r="AI691" s="363"/>
      <c r="AJ691" s="363"/>
      <c r="AK691" s="363"/>
      <c r="AL691" s="363"/>
      <c r="AM691" s="363"/>
    </row>
    <row r="692" spans="1:39" s="361" customFormat="1">
      <c r="A692" s="1"/>
      <c r="B692" s="1"/>
      <c r="C692" s="2"/>
      <c r="D692" s="1"/>
      <c r="E692" s="363"/>
      <c r="F692" s="363"/>
      <c r="G692" s="363"/>
      <c r="H692" s="363"/>
      <c r="I692" s="363"/>
      <c r="J692" s="363"/>
      <c r="K692" s="363"/>
      <c r="L692" s="363"/>
      <c r="M692" s="363"/>
      <c r="N692" s="363"/>
      <c r="O692" s="363"/>
      <c r="P692" s="363"/>
      <c r="Q692" s="363"/>
      <c r="R692" s="363"/>
      <c r="S692" s="363"/>
      <c r="T692" s="363"/>
      <c r="U692" s="363"/>
      <c r="V692" s="363"/>
      <c r="W692" s="363"/>
      <c r="X692" s="363"/>
      <c r="Y692" s="363"/>
      <c r="Z692" s="363"/>
      <c r="AA692" s="363"/>
      <c r="AB692" s="363"/>
      <c r="AC692" s="363"/>
      <c r="AD692" s="363"/>
      <c r="AE692" s="363"/>
      <c r="AF692" s="363"/>
      <c r="AG692" s="363"/>
      <c r="AH692" s="363"/>
      <c r="AI692" s="363"/>
      <c r="AJ692" s="363"/>
      <c r="AK692" s="363"/>
      <c r="AL692" s="363"/>
      <c r="AM692" s="363"/>
    </row>
    <row r="693" spans="1:39" s="361" customFormat="1">
      <c r="A693" s="1"/>
      <c r="B693" s="1"/>
      <c r="C693" s="2"/>
      <c r="D693" s="1"/>
      <c r="E693" s="363"/>
      <c r="F693" s="363"/>
      <c r="G693" s="363"/>
      <c r="H693" s="363"/>
      <c r="I693" s="363"/>
      <c r="J693" s="363"/>
      <c r="K693" s="363"/>
      <c r="L693" s="363"/>
      <c r="M693" s="363"/>
      <c r="N693" s="363"/>
      <c r="O693" s="363"/>
      <c r="P693" s="363"/>
      <c r="Q693" s="363"/>
      <c r="R693" s="363"/>
      <c r="S693" s="363"/>
      <c r="T693" s="363"/>
      <c r="U693" s="363"/>
      <c r="V693" s="363"/>
      <c r="W693" s="363"/>
      <c r="X693" s="363"/>
      <c r="Y693" s="363"/>
      <c r="Z693" s="363"/>
      <c r="AA693" s="363"/>
      <c r="AB693" s="363"/>
      <c r="AC693" s="363"/>
      <c r="AD693" s="363"/>
      <c r="AE693" s="363"/>
      <c r="AF693" s="363"/>
      <c r="AG693" s="363"/>
      <c r="AH693" s="363"/>
      <c r="AI693" s="363"/>
      <c r="AJ693" s="363"/>
      <c r="AK693" s="363"/>
      <c r="AL693" s="363"/>
      <c r="AM693" s="363"/>
    </row>
    <row r="694" spans="1:39" s="361" customFormat="1">
      <c r="A694" s="1"/>
      <c r="B694" s="1"/>
      <c r="C694" s="2"/>
      <c r="D694" s="1"/>
      <c r="E694" s="363"/>
      <c r="F694" s="363"/>
      <c r="G694" s="363"/>
      <c r="H694" s="363"/>
      <c r="I694" s="363"/>
      <c r="J694" s="363"/>
      <c r="K694" s="363"/>
      <c r="L694" s="363"/>
      <c r="M694" s="363"/>
      <c r="N694" s="363"/>
      <c r="O694" s="363"/>
      <c r="P694" s="363"/>
      <c r="Q694" s="363"/>
      <c r="R694" s="363"/>
      <c r="S694" s="363"/>
      <c r="T694" s="363"/>
      <c r="U694" s="363"/>
      <c r="V694" s="363"/>
      <c r="W694" s="363"/>
      <c r="X694" s="363"/>
      <c r="Y694" s="363"/>
      <c r="Z694" s="363"/>
      <c r="AA694" s="363"/>
      <c r="AB694" s="363"/>
      <c r="AC694" s="363"/>
      <c r="AD694" s="363"/>
      <c r="AE694" s="363"/>
      <c r="AF694" s="363"/>
      <c r="AG694" s="363"/>
      <c r="AH694" s="363"/>
      <c r="AI694" s="363"/>
      <c r="AJ694" s="363"/>
      <c r="AK694" s="363"/>
      <c r="AL694" s="363"/>
      <c r="AM694" s="363"/>
    </row>
    <row r="695" spans="1:39" s="361" customFormat="1">
      <c r="A695" s="1"/>
      <c r="B695" s="1"/>
      <c r="C695" s="2"/>
      <c r="D695" s="1"/>
      <c r="E695" s="363"/>
      <c r="F695" s="363"/>
      <c r="G695" s="363"/>
      <c r="H695" s="363"/>
      <c r="I695" s="363"/>
      <c r="J695" s="363"/>
      <c r="K695" s="363"/>
      <c r="L695" s="363"/>
      <c r="M695" s="363"/>
      <c r="N695" s="363"/>
      <c r="O695" s="363"/>
      <c r="P695" s="363"/>
      <c r="Q695" s="363"/>
      <c r="R695" s="363"/>
      <c r="S695" s="363"/>
      <c r="T695" s="363"/>
      <c r="U695" s="363"/>
      <c r="V695" s="363"/>
      <c r="W695" s="363"/>
      <c r="X695" s="363"/>
      <c r="Y695" s="363"/>
      <c r="Z695" s="363"/>
      <c r="AA695" s="363"/>
      <c r="AB695" s="363"/>
      <c r="AC695" s="363"/>
      <c r="AD695" s="363"/>
      <c r="AE695" s="363"/>
      <c r="AF695" s="363"/>
      <c r="AG695" s="363"/>
      <c r="AH695" s="363"/>
      <c r="AI695" s="363"/>
      <c r="AJ695" s="363"/>
      <c r="AK695" s="363"/>
      <c r="AL695" s="363"/>
      <c r="AM695" s="363"/>
    </row>
    <row r="696" spans="1:39" s="361" customFormat="1">
      <c r="A696" s="1"/>
      <c r="B696" s="1"/>
      <c r="C696" s="2"/>
      <c r="D696" s="1"/>
      <c r="E696" s="363"/>
      <c r="F696" s="363"/>
      <c r="G696" s="363"/>
      <c r="H696" s="363"/>
      <c r="I696" s="363"/>
      <c r="J696" s="363"/>
      <c r="K696" s="363"/>
      <c r="L696" s="363"/>
      <c r="M696" s="363"/>
      <c r="N696" s="363"/>
      <c r="O696" s="363"/>
      <c r="P696" s="363"/>
      <c r="Q696" s="363"/>
      <c r="R696" s="363"/>
      <c r="S696" s="363"/>
      <c r="T696" s="363"/>
      <c r="U696" s="363"/>
      <c r="V696" s="363"/>
      <c r="W696" s="363"/>
      <c r="X696" s="363"/>
      <c r="Y696" s="363"/>
      <c r="Z696" s="363"/>
      <c r="AA696" s="363"/>
      <c r="AB696" s="363"/>
      <c r="AC696" s="363"/>
      <c r="AD696" s="363"/>
      <c r="AE696" s="363"/>
      <c r="AF696" s="363"/>
      <c r="AG696" s="363"/>
      <c r="AH696" s="363"/>
      <c r="AI696" s="363"/>
      <c r="AJ696" s="363"/>
      <c r="AK696" s="363"/>
      <c r="AL696" s="363"/>
      <c r="AM696" s="363"/>
    </row>
    <row r="697" spans="1:39" s="361" customFormat="1">
      <c r="A697" s="1"/>
      <c r="B697" s="1"/>
      <c r="C697" s="2"/>
      <c r="D697" s="1"/>
      <c r="E697" s="363"/>
      <c r="F697" s="363"/>
      <c r="G697" s="363"/>
      <c r="H697" s="363"/>
      <c r="I697" s="363"/>
      <c r="J697" s="363"/>
      <c r="K697" s="363"/>
      <c r="L697" s="363"/>
      <c r="M697" s="363"/>
      <c r="N697" s="363"/>
      <c r="O697" s="363"/>
      <c r="P697" s="363"/>
      <c r="Q697" s="363"/>
      <c r="R697" s="363"/>
      <c r="S697" s="363"/>
      <c r="T697" s="363"/>
      <c r="U697" s="363"/>
      <c r="V697" s="363"/>
      <c r="W697" s="363"/>
      <c r="X697" s="363"/>
      <c r="Y697" s="363"/>
      <c r="Z697" s="363"/>
      <c r="AA697" s="363"/>
      <c r="AB697" s="363"/>
      <c r="AC697" s="363"/>
      <c r="AD697" s="363"/>
      <c r="AE697" s="363"/>
      <c r="AF697" s="363"/>
      <c r="AG697" s="363"/>
      <c r="AH697" s="363"/>
      <c r="AI697" s="363"/>
      <c r="AJ697" s="363"/>
      <c r="AK697" s="363"/>
      <c r="AL697" s="363"/>
      <c r="AM697" s="363"/>
    </row>
    <row r="698" spans="1:39" s="361" customFormat="1">
      <c r="A698" s="1"/>
      <c r="B698" s="1"/>
      <c r="C698" s="2"/>
      <c r="D698" s="1"/>
      <c r="E698" s="363"/>
      <c r="F698" s="363"/>
      <c r="G698" s="363"/>
      <c r="H698" s="363"/>
      <c r="I698" s="363"/>
      <c r="J698" s="363"/>
      <c r="K698" s="363"/>
      <c r="L698" s="363"/>
      <c r="M698" s="363"/>
      <c r="N698" s="363"/>
      <c r="O698" s="363"/>
      <c r="P698" s="363"/>
      <c r="Q698" s="363"/>
      <c r="R698" s="363"/>
      <c r="S698" s="363"/>
      <c r="T698" s="363"/>
      <c r="U698" s="363"/>
      <c r="V698" s="363"/>
      <c r="W698" s="363"/>
      <c r="X698" s="363"/>
      <c r="Y698" s="363"/>
      <c r="Z698" s="363"/>
      <c r="AA698" s="363"/>
      <c r="AB698" s="363"/>
      <c r="AC698" s="363"/>
      <c r="AD698" s="363"/>
      <c r="AE698" s="363"/>
      <c r="AF698" s="363"/>
      <c r="AG698" s="363"/>
      <c r="AH698" s="363"/>
      <c r="AI698" s="363"/>
      <c r="AJ698" s="363"/>
      <c r="AK698" s="363"/>
      <c r="AL698" s="363"/>
      <c r="AM698" s="363"/>
    </row>
    <row r="699" spans="1:39" s="361" customFormat="1">
      <c r="A699" s="1"/>
      <c r="B699" s="1"/>
      <c r="C699" s="2"/>
      <c r="D699" s="1"/>
      <c r="E699" s="363"/>
      <c r="F699" s="363"/>
      <c r="G699" s="363"/>
      <c r="H699" s="363"/>
      <c r="I699" s="363"/>
      <c r="J699" s="363"/>
      <c r="K699" s="363"/>
      <c r="L699" s="363"/>
      <c r="M699" s="363"/>
      <c r="N699" s="363"/>
      <c r="O699" s="363"/>
      <c r="P699" s="363"/>
      <c r="Q699" s="363"/>
      <c r="R699" s="363"/>
      <c r="S699" s="363"/>
      <c r="T699" s="363"/>
      <c r="U699" s="363"/>
      <c r="V699" s="363"/>
      <c r="W699" s="363"/>
      <c r="X699" s="363"/>
      <c r="Y699" s="363"/>
      <c r="Z699" s="363"/>
      <c r="AA699" s="363"/>
      <c r="AB699" s="363"/>
      <c r="AC699" s="363"/>
      <c r="AD699" s="363"/>
      <c r="AE699" s="363"/>
      <c r="AF699" s="363"/>
      <c r="AG699" s="363"/>
      <c r="AH699" s="363"/>
      <c r="AI699" s="363"/>
      <c r="AJ699" s="363"/>
      <c r="AK699" s="363"/>
      <c r="AL699" s="363"/>
      <c r="AM699" s="363"/>
    </row>
    <row r="700" spans="1:39" s="361" customFormat="1">
      <c r="A700" s="1"/>
      <c r="B700" s="1"/>
      <c r="C700" s="2"/>
      <c r="D700" s="1"/>
      <c r="E700" s="363"/>
      <c r="F700" s="363"/>
      <c r="G700" s="363"/>
      <c r="H700" s="363"/>
      <c r="I700" s="363"/>
      <c r="J700" s="363"/>
      <c r="K700" s="363"/>
      <c r="L700" s="363"/>
      <c r="M700" s="363"/>
      <c r="N700" s="363"/>
      <c r="O700" s="363"/>
      <c r="P700" s="363"/>
      <c r="Q700" s="363"/>
      <c r="R700" s="363"/>
      <c r="S700" s="363"/>
      <c r="T700" s="363"/>
      <c r="U700" s="363"/>
      <c r="V700" s="363"/>
      <c r="W700" s="363"/>
      <c r="X700" s="363"/>
      <c r="Y700" s="363"/>
      <c r="Z700" s="363"/>
      <c r="AA700" s="363"/>
      <c r="AB700" s="363"/>
      <c r="AC700" s="363"/>
      <c r="AD700" s="363"/>
      <c r="AE700" s="363"/>
      <c r="AF700" s="363"/>
      <c r="AG700" s="363"/>
      <c r="AH700" s="363"/>
      <c r="AI700" s="363"/>
      <c r="AJ700" s="363"/>
      <c r="AK700" s="363"/>
      <c r="AL700" s="363"/>
      <c r="AM700" s="363"/>
    </row>
    <row r="701" spans="1:39" s="361" customFormat="1">
      <c r="A701" s="1"/>
      <c r="B701" s="1"/>
      <c r="C701" s="2"/>
      <c r="D701" s="1"/>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3"/>
      <c r="AD701" s="363"/>
      <c r="AE701" s="363"/>
      <c r="AF701" s="363"/>
      <c r="AG701" s="363"/>
      <c r="AH701" s="363"/>
      <c r="AI701" s="363"/>
      <c r="AJ701" s="363"/>
      <c r="AK701" s="363"/>
      <c r="AL701" s="363"/>
      <c r="AM701" s="363"/>
    </row>
    <row r="702" spans="1:39" s="361" customFormat="1">
      <c r="A702" s="1"/>
      <c r="B702" s="1"/>
      <c r="C702" s="2"/>
      <c r="D702" s="1"/>
      <c r="E702" s="363"/>
      <c r="F702" s="363"/>
      <c r="G702" s="363"/>
      <c r="H702" s="363"/>
      <c r="I702" s="363"/>
      <c r="J702" s="363"/>
      <c r="K702" s="363"/>
      <c r="L702" s="363"/>
      <c r="M702" s="363"/>
      <c r="N702" s="363"/>
      <c r="O702" s="363"/>
      <c r="P702" s="363"/>
      <c r="Q702" s="363"/>
      <c r="R702" s="363"/>
      <c r="S702" s="363"/>
      <c r="T702" s="363"/>
      <c r="U702" s="363"/>
      <c r="V702" s="363"/>
      <c r="W702" s="363"/>
      <c r="X702" s="363"/>
      <c r="Y702" s="363"/>
      <c r="Z702" s="363"/>
      <c r="AA702" s="363"/>
      <c r="AB702" s="363"/>
      <c r="AC702" s="363"/>
      <c r="AD702" s="363"/>
      <c r="AE702" s="363"/>
      <c r="AF702" s="363"/>
      <c r="AG702" s="363"/>
      <c r="AH702" s="363"/>
      <c r="AI702" s="363"/>
      <c r="AJ702" s="363"/>
      <c r="AK702" s="363"/>
      <c r="AL702" s="363"/>
      <c r="AM702" s="363"/>
    </row>
    <row r="703" spans="1:39" s="361" customFormat="1">
      <c r="A703" s="1"/>
      <c r="B703" s="1"/>
      <c r="C703" s="2"/>
      <c r="D703" s="1"/>
      <c r="E703" s="363"/>
      <c r="F703" s="363"/>
      <c r="G703" s="363"/>
      <c r="H703" s="363"/>
      <c r="I703" s="363"/>
      <c r="J703" s="363"/>
      <c r="K703" s="363"/>
      <c r="L703" s="363"/>
      <c r="M703" s="363"/>
      <c r="N703" s="363"/>
      <c r="O703" s="363"/>
      <c r="P703" s="363"/>
      <c r="Q703" s="363"/>
      <c r="R703" s="363"/>
      <c r="S703" s="363"/>
      <c r="T703" s="363"/>
      <c r="U703" s="363"/>
      <c r="V703" s="363"/>
      <c r="W703" s="363"/>
      <c r="X703" s="363"/>
      <c r="Y703" s="363"/>
      <c r="Z703" s="363"/>
      <c r="AA703" s="363"/>
      <c r="AB703" s="363"/>
      <c r="AC703" s="363"/>
      <c r="AD703" s="363"/>
      <c r="AE703" s="363"/>
      <c r="AF703" s="363"/>
      <c r="AG703" s="363"/>
      <c r="AH703" s="363"/>
      <c r="AI703" s="363"/>
      <c r="AJ703" s="363"/>
      <c r="AK703" s="363"/>
      <c r="AL703" s="363"/>
      <c r="AM703" s="363"/>
    </row>
    <row r="704" spans="1:39" s="361" customFormat="1">
      <c r="A704" s="1"/>
      <c r="B704" s="1"/>
      <c r="C704" s="2"/>
      <c r="D704" s="1"/>
      <c r="E704" s="363"/>
      <c r="F704" s="363"/>
      <c r="G704" s="363"/>
      <c r="H704" s="363"/>
      <c r="I704" s="363"/>
      <c r="J704" s="363"/>
      <c r="K704" s="363"/>
      <c r="L704" s="363"/>
      <c r="M704" s="363"/>
      <c r="N704" s="363"/>
      <c r="O704" s="363"/>
      <c r="P704" s="363"/>
      <c r="Q704" s="363"/>
      <c r="R704" s="363"/>
      <c r="S704" s="363"/>
      <c r="T704" s="363"/>
      <c r="U704" s="363"/>
      <c r="V704" s="363"/>
      <c r="W704" s="363"/>
      <c r="X704" s="363"/>
      <c r="Y704" s="363"/>
      <c r="Z704" s="363"/>
      <c r="AA704" s="363"/>
      <c r="AB704" s="363"/>
      <c r="AC704" s="363"/>
      <c r="AD704" s="363"/>
      <c r="AE704" s="363"/>
      <c r="AF704" s="363"/>
      <c r="AG704" s="363"/>
      <c r="AH704" s="363"/>
      <c r="AI704" s="363"/>
      <c r="AJ704" s="363"/>
      <c r="AK704" s="363"/>
      <c r="AL704" s="363"/>
      <c r="AM704" s="363"/>
    </row>
    <row r="705" spans="1:39" s="361" customFormat="1">
      <c r="A705" s="1"/>
      <c r="B705" s="1"/>
      <c r="C705" s="2"/>
      <c r="D705" s="1"/>
      <c r="E705" s="363"/>
      <c r="F705" s="363"/>
      <c r="G705" s="363"/>
      <c r="H705" s="363"/>
      <c r="I705" s="363"/>
      <c r="J705" s="363"/>
      <c r="K705" s="363"/>
      <c r="L705" s="363"/>
      <c r="M705" s="363"/>
      <c r="N705" s="363"/>
      <c r="O705" s="363"/>
      <c r="P705" s="363"/>
      <c r="Q705" s="363"/>
      <c r="R705" s="363"/>
      <c r="S705" s="363"/>
      <c r="T705" s="363"/>
      <c r="U705" s="363"/>
      <c r="V705" s="363"/>
      <c r="W705" s="363"/>
      <c r="X705" s="363"/>
      <c r="Y705" s="363"/>
      <c r="Z705" s="363"/>
      <c r="AA705" s="363"/>
      <c r="AB705" s="363"/>
      <c r="AC705" s="363"/>
      <c r="AD705" s="363"/>
      <c r="AE705" s="363"/>
      <c r="AF705" s="363"/>
      <c r="AG705" s="363"/>
      <c r="AH705" s="363"/>
      <c r="AI705" s="363"/>
      <c r="AJ705" s="363"/>
      <c r="AK705" s="363"/>
      <c r="AL705" s="363"/>
      <c r="AM705" s="363"/>
    </row>
    <row r="706" spans="1:39" s="361" customFormat="1">
      <c r="A706" s="1"/>
      <c r="B706" s="1"/>
      <c r="C706" s="2"/>
      <c r="D706" s="1"/>
      <c r="E706" s="363"/>
      <c r="F706" s="363"/>
      <c r="G706" s="363"/>
      <c r="H706" s="363"/>
      <c r="I706" s="363"/>
      <c r="J706" s="363"/>
      <c r="K706" s="363"/>
      <c r="L706" s="363"/>
      <c r="M706" s="363"/>
      <c r="N706" s="363"/>
      <c r="O706" s="363"/>
      <c r="P706" s="363"/>
      <c r="Q706" s="363"/>
      <c r="R706" s="363"/>
      <c r="S706" s="363"/>
      <c r="T706" s="363"/>
      <c r="U706" s="363"/>
      <c r="V706" s="363"/>
      <c r="W706" s="363"/>
      <c r="X706" s="363"/>
      <c r="Y706" s="363"/>
      <c r="Z706" s="363"/>
      <c r="AA706" s="363"/>
      <c r="AB706" s="363"/>
      <c r="AC706" s="363"/>
      <c r="AD706" s="363"/>
      <c r="AE706" s="363"/>
      <c r="AF706" s="363"/>
      <c r="AG706" s="363"/>
      <c r="AH706" s="363"/>
      <c r="AI706" s="363"/>
      <c r="AJ706" s="363"/>
      <c r="AK706" s="363"/>
      <c r="AL706" s="363"/>
      <c r="AM706" s="363"/>
    </row>
    <row r="707" spans="1:39" s="361" customFormat="1">
      <c r="A707" s="1"/>
      <c r="B707" s="1"/>
      <c r="C707" s="2"/>
      <c r="D707" s="1"/>
      <c r="E707" s="363"/>
      <c r="F707" s="363"/>
      <c r="G707" s="363"/>
      <c r="H707" s="363"/>
      <c r="I707" s="363"/>
      <c r="J707" s="363"/>
      <c r="K707" s="363"/>
      <c r="L707" s="363"/>
      <c r="M707" s="363"/>
      <c r="N707" s="363"/>
      <c r="O707" s="363"/>
      <c r="P707" s="363"/>
      <c r="Q707" s="363"/>
      <c r="R707" s="363"/>
      <c r="S707" s="363"/>
      <c r="T707" s="363"/>
      <c r="U707" s="363"/>
      <c r="V707" s="363"/>
      <c r="W707" s="363"/>
      <c r="X707" s="363"/>
      <c r="Y707" s="363"/>
      <c r="Z707" s="363"/>
      <c r="AA707" s="363"/>
      <c r="AB707" s="363"/>
      <c r="AC707" s="363"/>
      <c r="AD707" s="363"/>
      <c r="AE707" s="363"/>
      <c r="AF707" s="363"/>
      <c r="AG707" s="363"/>
      <c r="AH707" s="363"/>
      <c r="AI707" s="363"/>
      <c r="AJ707" s="363"/>
      <c r="AK707" s="363"/>
      <c r="AL707" s="363"/>
      <c r="AM707" s="363"/>
    </row>
    <row r="708" spans="1:39" s="361" customFormat="1">
      <c r="A708" s="1"/>
      <c r="B708" s="1"/>
      <c r="C708" s="2"/>
      <c r="D708" s="1"/>
      <c r="E708" s="363"/>
      <c r="F708" s="363"/>
      <c r="G708" s="363"/>
      <c r="H708" s="363"/>
      <c r="I708" s="363"/>
      <c r="J708" s="363"/>
      <c r="K708" s="363"/>
      <c r="L708" s="363"/>
      <c r="M708" s="363"/>
      <c r="N708" s="363"/>
      <c r="O708" s="363"/>
      <c r="P708" s="363"/>
      <c r="Q708" s="363"/>
      <c r="R708" s="363"/>
      <c r="S708" s="363"/>
      <c r="T708" s="363"/>
      <c r="U708" s="363"/>
      <c r="V708" s="363"/>
      <c r="W708" s="363"/>
      <c r="X708" s="363"/>
      <c r="Y708" s="363"/>
      <c r="Z708" s="363"/>
      <c r="AA708" s="363"/>
      <c r="AB708" s="363"/>
      <c r="AC708" s="363"/>
      <c r="AD708" s="363"/>
      <c r="AE708" s="363"/>
      <c r="AF708" s="363"/>
      <c r="AG708" s="363"/>
      <c r="AH708" s="363"/>
      <c r="AI708" s="363"/>
      <c r="AJ708" s="363"/>
      <c r="AK708" s="363"/>
      <c r="AL708" s="363"/>
      <c r="AM708" s="363"/>
    </row>
    <row r="709" spans="1:39" s="361" customFormat="1">
      <c r="A709" s="1"/>
      <c r="B709" s="1"/>
      <c r="C709" s="2"/>
      <c r="D709" s="1"/>
      <c r="E709" s="363"/>
      <c r="F709" s="363"/>
      <c r="G709" s="363"/>
      <c r="H709" s="363"/>
      <c r="I709" s="363"/>
      <c r="J709" s="363"/>
      <c r="K709" s="363"/>
      <c r="L709" s="363"/>
      <c r="M709" s="363"/>
      <c r="N709" s="363"/>
      <c r="O709" s="363"/>
      <c r="P709" s="363"/>
      <c r="Q709" s="363"/>
      <c r="R709" s="363"/>
      <c r="S709" s="363"/>
      <c r="T709" s="363"/>
      <c r="U709" s="363"/>
      <c r="V709" s="363"/>
      <c r="W709" s="363"/>
      <c r="X709" s="363"/>
      <c r="Y709" s="363"/>
      <c r="Z709" s="363"/>
      <c r="AA709" s="363"/>
      <c r="AB709" s="363"/>
      <c r="AC709" s="363"/>
      <c r="AD709" s="363"/>
      <c r="AE709" s="363"/>
      <c r="AF709" s="363"/>
      <c r="AG709" s="363"/>
      <c r="AH709" s="363"/>
      <c r="AI709" s="363"/>
      <c r="AJ709" s="363"/>
      <c r="AK709" s="363"/>
      <c r="AL709" s="363"/>
      <c r="AM709" s="363"/>
    </row>
    <row r="710" spans="1:39" s="361" customFormat="1">
      <c r="A710" s="1"/>
      <c r="B710" s="1"/>
      <c r="C710" s="2"/>
      <c r="D710" s="1"/>
      <c r="E710" s="363"/>
      <c r="F710" s="363"/>
      <c r="G710" s="363"/>
      <c r="H710" s="363"/>
      <c r="I710" s="363"/>
      <c r="J710" s="363"/>
      <c r="K710" s="363"/>
      <c r="L710" s="363"/>
      <c r="M710" s="363"/>
      <c r="N710" s="363"/>
      <c r="O710" s="363"/>
      <c r="P710" s="363"/>
      <c r="Q710" s="363"/>
      <c r="R710" s="363"/>
      <c r="S710" s="363"/>
      <c r="T710" s="363"/>
      <c r="U710" s="363"/>
      <c r="V710" s="363"/>
      <c r="W710" s="363"/>
      <c r="X710" s="363"/>
      <c r="Y710" s="363"/>
      <c r="Z710" s="363"/>
      <c r="AA710" s="363"/>
      <c r="AB710" s="363"/>
      <c r="AC710" s="363"/>
      <c r="AD710" s="363"/>
      <c r="AE710" s="363"/>
      <c r="AF710" s="363"/>
      <c r="AG710" s="363"/>
      <c r="AH710" s="363"/>
      <c r="AI710" s="363"/>
      <c r="AJ710" s="363"/>
      <c r="AK710" s="363"/>
      <c r="AL710" s="363"/>
      <c r="AM710" s="363"/>
    </row>
    <row r="711" spans="1:39" s="361" customFormat="1">
      <c r="A711" s="1"/>
      <c r="B711" s="1"/>
      <c r="C711" s="2"/>
      <c r="D711" s="1"/>
      <c r="E711" s="363"/>
      <c r="F711" s="363"/>
      <c r="G711" s="363"/>
      <c r="H711" s="363"/>
      <c r="I711" s="363"/>
      <c r="J711" s="363"/>
      <c r="K711" s="363"/>
      <c r="L711" s="363"/>
      <c r="M711" s="363"/>
      <c r="N711" s="363"/>
      <c r="O711" s="363"/>
      <c r="P711" s="363"/>
      <c r="Q711" s="363"/>
      <c r="R711" s="363"/>
      <c r="S711" s="363"/>
      <c r="T711" s="363"/>
      <c r="U711" s="363"/>
      <c r="V711" s="363"/>
      <c r="W711" s="363"/>
      <c r="X711" s="363"/>
      <c r="Y711" s="363"/>
      <c r="Z711" s="363"/>
      <c r="AA711" s="363"/>
      <c r="AB711" s="363"/>
      <c r="AC711" s="363"/>
      <c r="AD711" s="363"/>
      <c r="AE711" s="363"/>
      <c r="AF711" s="363"/>
      <c r="AG711" s="363"/>
      <c r="AH711" s="363"/>
      <c r="AI711" s="363"/>
      <c r="AJ711" s="363"/>
      <c r="AK711" s="363"/>
      <c r="AL711" s="363"/>
      <c r="AM711" s="363"/>
    </row>
    <row r="712" spans="1:39" s="361" customFormat="1">
      <c r="A712" s="1"/>
      <c r="B712" s="1"/>
      <c r="C712" s="2"/>
      <c r="D712" s="1"/>
      <c r="E712" s="363"/>
      <c r="F712" s="363"/>
      <c r="G712" s="363"/>
      <c r="H712" s="363"/>
      <c r="I712" s="363"/>
      <c r="J712" s="363"/>
      <c r="K712" s="363"/>
      <c r="L712" s="363"/>
      <c r="M712" s="363"/>
      <c r="N712" s="363"/>
      <c r="O712" s="363"/>
      <c r="P712" s="363"/>
      <c r="Q712" s="363"/>
      <c r="R712" s="363"/>
      <c r="S712" s="363"/>
      <c r="T712" s="363"/>
      <c r="U712" s="363"/>
      <c r="V712" s="363"/>
      <c r="W712" s="363"/>
      <c r="X712" s="363"/>
      <c r="Y712" s="363"/>
      <c r="Z712" s="363"/>
      <c r="AA712" s="363"/>
      <c r="AB712" s="363"/>
      <c r="AC712" s="363"/>
      <c r="AD712" s="363"/>
      <c r="AE712" s="363"/>
      <c r="AF712" s="363"/>
      <c r="AG712" s="363"/>
      <c r="AH712" s="363"/>
      <c r="AI712" s="363"/>
      <c r="AJ712" s="363"/>
      <c r="AK712" s="363"/>
      <c r="AL712" s="363"/>
      <c r="AM712" s="363"/>
    </row>
    <row r="713" spans="1:39" s="361" customFormat="1">
      <c r="A713" s="1"/>
      <c r="B713" s="1"/>
      <c r="C713" s="2"/>
      <c r="D713" s="1"/>
      <c r="E713" s="363"/>
      <c r="F713" s="363"/>
      <c r="G713" s="363"/>
      <c r="H713" s="363"/>
      <c r="I713" s="363"/>
      <c r="J713" s="363"/>
      <c r="K713" s="363"/>
      <c r="L713" s="363"/>
      <c r="M713" s="363"/>
      <c r="N713" s="363"/>
      <c r="O713" s="363"/>
      <c r="P713" s="363"/>
      <c r="Q713" s="363"/>
      <c r="R713" s="363"/>
      <c r="S713" s="363"/>
      <c r="T713" s="363"/>
      <c r="U713" s="363"/>
      <c r="V713" s="363"/>
      <c r="W713" s="363"/>
      <c r="X713" s="363"/>
      <c r="Y713" s="363"/>
      <c r="Z713" s="363"/>
      <c r="AA713" s="363"/>
      <c r="AB713" s="363"/>
      <c r="AC713" s="363"/>
      <c r="AD713" s="363"/>
      <c r="AE713" s="363"/>
      <c r="AF713" s="363"/>
      <c r="AG713" s="363"/>
      <c r="AH713" s="363"/>
      <c r="AI713" s="363"/>
      <c r="AJ713" s="363"/>
      <c r="AK713" s="363"/>
      <c r="AL713" s="363"/>
      <c r="AM713" s="363"/>
    </row>
    <row r="714" spans="1:39" s="361" customFormat="1">
      <c r="A714" s="1"/>
      <c r="B714" s="1"/>
      <c r="C714" s="2"/>
      <c r="D714" s="1"/>
      <c r="E714" s="363"/>
      <c r="F714" s="363"/>
      <c r="G714" s="363"/>
      <c r="H714" s="363"/>
      <c r="I714" s="363"/>
      <c r="J714" s="363"/>
      <c r="K714" s="363"/>
      <c r="L714" s="363"/>
      <c r="M714" s="363"/>
      <c r="N714" s="363"/>
      <c r="O714" s="363"/>
      <c r="P714" s="363"/>
      <c r="Q714" s="363"/>
      <c r="R714" s="363"/>
      <c r="S714" s="363"/>
      <c r="T714" s="363"/>
      <c r="U714" s="363"/>
      <c r="V714" s="363"/>
      <c r="W714" s="363"/>
      <c r="X714" s="363"/>
      <c r="Y714" s="363"/>
      <c r="Z714" s="363"/>
      <c r="AA714" s="363"/>
      <c r="AB714" s="363"/>
      <c r="AC714" s="363"/>
      <c r="AD714" s="363"/>
      <c r="AE714" s="363"/>
      <c r="AF714" s="363"/>
      <c r="AG714" s="363"/>
      <c r="AH714" s="363"/>
      <c r="AI714" s="363"/>
      <c r="AJ714" s="363"/>
      <c r="AK714" s="363"/>
      <c r="AL714" s="363"/>
      <c r="AM714" s="363"/>
    </row>
    <row r="715" spans="1:39" s="361" customFormat="1">
      <c r="A715" s="1"/>
      <c r="B715" s="1"/>
      <c r="C715" s="2"/>
      <c r="D715" s="1"/>
      <c r="E715" s="363"/>
      <c r="F715" s="363"/>
      <c r="G715" s="363"/>
      <c r="H715" s="363"/>
      <c r="I715" s="363"/>
      <c r="J715" s="363"/>
      <c r="K715" s="363"/>
      <c r="L715" s="363"/>
      <c r="M715" s="363"/>
      <c r="N715" s="363"/>
      <c r="O715" s="363"/>
      <c r="P715" s="363"/>
      <c r="Q715" s="363"/>
      <c r="R715" s="363"/>
      <c r="S715" s="363"/>
      <c r="T715" s="363"/>
      <c r="U715" s="363"/>
      <c r="V715" s="363"/>
      <c r="W715" s="363"/>
      <c r="X715" s="363"/>
      <c r="Y715" s="363"/>
      <c r="Z715" s="363"/>
      <c r="AA715" s="363"/>
      <c r="AB715" s="363"/>
      <c r="AC715" s="363"/>
      <c r="AD715" s="363"/>
      <c r="AE715" s="363"/>
      <c r="AF715" s="363"/>
      <c r="AG715" s="363"/>
      <c r="AH715" s="363"/>
      <c r="AI715" s="363"/>
      <c r="AJ715" s="363"/>
      <c r="AK715" s="363"/>
      <c r="AL715" s="363"/>
      <c r="AM715" s="363"/>
    </row>
    <row r="716" spans="1:39" s="361" customFormat="1">
      <c r="A716" s="1"/>
      <c r="B716" s="1"/>
      <c r="C716" s="2"/>
      <c r="D716" s="1"/>
      <c r="E716" s="363"/>
      <c r="F716" s="363"/>
      <c r="G716" s="363"/>
      <c r="H716" s="363"/>
      <c r="I716" s="363"/>
      <c r="J716" s="363"/>
      <c r="K716" s="363"/>
      <c r="L716" s="363"/>
      <c r="M716" s="363"/>
      <c r="N716" s="363"/>
      <c r="O716" s="363"/>
      <c r="P716" s="363"/>
      <c r="Q716" s="363"/>
      <c r="R716" s="363"/>
      <c r="S716" s="363"/>
      <c r="T716" s="363"/>
      <c r="U716" s="363"/>
      <c r="V716" s="363"/>
      <c r="W716" s="363"/>
      <c r="X716" s="363"/>
      <c r="Y716" s="363"/>
      <c r="Z716" s="363"/>
      <c r="AA716" s="363"/>
      <c r="AB716" s="363"/>
      <c r="AC716" s="363"/>
      <c r="AD716" s="363"/>
      <c r="AE716" s="363"/>
      <c r="AF716" s="363"/>
      <c r="AG716" s="363"/>
      <c r="AH716" s="363"/>
      <c r="AI716" s="363"/>
      <c r="AJ716" s="363"/>
      <c r="AK716" s="363"/>
      <c r="AL716" s="363"/>
      <c r="AM716" s="363"/>
    </row>
    <row r="717" spans="1:39" s="361" customFormat="1">
      <c r="A717" s="1"/>
      <c r="B717" s="1"/>
      <c r="C717" s="2"/>
      <c r="D717" s="1"/>
      <c r="E717" s="363"/>
      <c r="F717" s="363"/>
      <c r="G717" s="363"/>
      <c r="H717" s="363"/>
      <c r="I717" s="363"/>
      <c r="J717" s="363"/>
      <c r="K717" s="363"/>
      <c r="L717" s="363"/>
      <c r="M717" s="363"/>
      <c r="N717" s="363"/>
      <c r="O717" s="363"/>
      <c r="P717" s="363"/>
      <c r="Q717" s="363"/>
      <c r="R717" s="363"/>
      <c r="S717" s="363"/>
      <c r="T717" s="363"/>
      <c r="U717" s="363"/>
      <c r="V717" s="363"/>
      <c r="W717" s="363"/>
      <c r="X717" s="363"/>
      <c r="Y717" s="363"/>
      <c r="Z717" s="363"/>
      <c r="AA717" s="363"/>
      <c r="AB717" s="363"/>
      <c r="AC717" s="363"/>
      <c r="AD717" s="363"/>
      <c r="AE717" s="363"/>
      <c r="AF717" s="363"/>
      <c r="AG717" s="363"/>
      <c r="AH717" s="363"/>
      <c r="AI717" s="363"/>
      <c r="AJ717" s="363"/>
      <c r="AK717" s="363"/>
      <c r="AL717" s="363"/>
      <c r="AM717" s="363"/>
    </row>
    <row r="718" spans="1:39" s="231" customFormat="1">
      <c r="A718" s="1"/>
      <c r="B718" s="1"/>
      <c r="C718" s="2"/>
      <c r="D718" s="1"/>
      <c r="E718" s="248"/>
      <c r="F718" s="248"/>
      <c r="G718" s="248"/>
      <c r="H718" s="248"/>
      <c r="I718" s="248"/>
      <c r="J718" s="248"/>
      <c r="K718" s="248"/>
      <c r="L718" s="248"/>
      <c r="M718" s="248"/>
      <c r="N718" s="248"/>
      <c r="O718" s="248"/>
      <c r="P718" s="248"/>
      <c r="Q718" s="248"/>
      <c r="R718" s="248"/>
      <c r="S718" s="248"/>
      <c r="T718" s="248"/>
      <c r="U718" s="248"/>
      <c r="V718" s="248"/>
      <c r="W718" s="248"/>
      <c r="X718" s="248"/>
      <c r="Y718" s="248"/>
      <c r="Z718" s="248"/>
      <c r="AA718" s="248"/>
      <c r="AB718" s="248"/>
      <c r="AC718" s="248"/>
      <c r="AD718" s="248"/>
      <c r="AE718" s="248"/>
      <c r="AF718" s="248"/>
      <c r="AG718" s="248"/>
      <c r="AH718" s="248"/>
      <c r="AI718" s="248"/>
      <c r="AJ718" s="248"/>
      <c r="AK718" s="248"/>
      <c r="AL718" s="248"/>
      <c r="AM718" s="248"/>
    </row>
    <row r="719" spans="1:39" s="231" customFormat="1">
      <c r="A719" s="1"/>
      <c r="B719" s="1"/>
      <c r="C719" s="2"/>
      <c r="D719" s="1"/>
      <c r="E719" s="248"/>
      <c r="F719" s="248"/>
      <c r="G719" s="248"/>
      <c r="H719" s="248"/>
      <c r="I719" s="248"/>
      <c r="J719" s="248"/>
      <c r="K719" s="248"/>
      <c r="L719" s="248"/>
      <c r="M719" s="248"/>
      <c r="N719" s="248"/>
      <c r="O719" s="248"/>
      <c r="P719" s="248"/>
      <c r="Q719" s="248"/>
      <c r="R719" s="248"/>
      <c r="S719" s="248"/>
      <c r="T719" s="248"/>
      <c r="U719" s="248"/>
      <c r="V719" s="248"/>
      <c r="W719" s="248"/>
      <c r="X719" s="248"/>
      <c r="Y719" s="248"/>
      <c r="Z719" s="248"/>
      <c r="AA719" s="248"/>
      <c r="AB719" s="248"/>
      <c r="AC719" s="248"/>
      <c r="AD719" s="248"/>
      <c r="AE719" s="248"/>
      <c r="AF719" s="248"/>
      <c r="AG719" s="248"/>
      <c r="AH719" s="248"/>
      <c r="AI719" s="248"/>
      <c r="AJ719" s="248"/>
      <c r="AK719" s="248"/>
      <c r="AL719" s="248"/>
      <c r="AM719" s="248"/>
    </row>
    <row r="720" spans="1:39" s="231" customFormat="1">
      <c r="A720" s="1"/>
      <c r="B720" s="1"/>
      <c r="C720" s="2"/>
      <c r="D720" s="1"/>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1" t="s">
        <v>24</v>
      </c>
      <c r="AK720" s="612">
        <f>AK658+1</f>
        <v>11</v>
      </c>
      <c r="AL720" s="612"/>
      <c r="AM720" s="11" t="s">
        <v>24</v>
      </c>
    </row>
    <row r="721" spans="1:39" s="231" customFormat="1">
      <c r="A721" s="1"/>
      <c r="B721" s="1"/>
      <c r="C721" s="2"/>
      <c r="D721" s="1"/>
      <c r="E721" s="265" t="str">
        <f>UPPER($Y$28)</f>
        <v>ПТ ЛОМБАРД "МЕРКУРІЙ"</v>
      </c>
      <c r="F721" s="265"/>
      <c r="G721" s="265"/>
      <c r="H721" s="265"/>
      <c r="I721" s="265"/>
      <c r="J721" s="265"/>
      <c r="K721" s="265"/>
      <c r="L721" s="265"/>
      <c r="M721" s="265"/>
      <c r="N721" s="265"/>
      <c r="O721" s="265"/>
      <c r="P721" s="265"/>
      <c r="Q721" s="265"/>
      <c r="R721" s="265"/>
      <c r="S721" s="265"/>
      <c r="T721" s="265"/>
      <c r="U721" s="265"/>
      <c r="V721" s="265"/>
      <c r="W721" s="265"/>
      <c r="X721" s="265"/>
      <c r="Y721" s="265"/>
      <c r="Z721" s="265"/>
      <c r="AA721" s="265"/>
      <c r="AB721" s="265"/>
      <c r="AC721" s="265"/>
      <c r="AD721" s="265"/>
      <c r="AE721" s="265"/>
      <c r="AF721" s="265"/>
      <c r="AG721" s="265"/>
      <c r="AH721" s="265"/>
      <c r="AI721" s="265"/>
      <c r="AJ721" s="265"/>
      <c r="AK721" s="265"/>
      <c r="AL721" s="265"/>
      <c r="AM721" s="265"/>
    </row>
    <row r="722" spans="1:39" s="231" customFormat="1">
      <c r="A722" s="1"/>
      <c r="B722" s="1"/>
      <c r="C722" s="2"/>
      <c r="D722" s="1"/>
      <c r="E722" s="269" t="s">
        <v>143</v>
      </c>
      <c r="F722" s="269"/>
      <c r="G722" s="269"/>
      <c r="H722" s="269"/>
      <c r="I722" s="269"/>
      <c r="J722" s="269"/>
      <c r="K722" s="269"/>
      <c r="L722" s="269"/>
      <c r="M722" s="269"/>
      <c r="N722" s="269"/>
      <c r="O722" s="269"/>
      <c r="P722" s="269"/>
      <c r="Q722" s="269"/>
      <c r="R722" s="269"/>
      <c r="S722" s="269"/>
      <c r="T722" s="269"/>
      <c r="U722" s="269"/>
      <c r="V722" s="269"/>
      <c r="W722" s="269"/>
      <c r="X722" s="269"/>
      <c r="Y722" s="269"/>
      <c r="Z722" s="269"/>
      <c r="AA722" s="269"/>
      <c r="AB722" s="269"/>
      <c r="AC722" s="269"/>
      <c r="AD722" s="269"/>
      <c r="AE722" s="269"/>
      <c r="AF722" s="269"/>
      <c r="AG722" s="269"/>
      <c r="AH722" s="269"/>
      <c r="AI722" s="269"/>
      <c r="AJ722" s="269"/>
      <c r="AK722" s="269"/>
      <c r="AL722" s="269"/>
      <c r="AM722" s="269"/>
    </row>
    <row r="723" spans="1:39" s="231" customFormat="1">
      <c r="A723" s="1"/>
      <c r="B723" s="1"/>
      <c r="C723" s="2"/>
      <c r="D723" s="1"/>
      <c r="E723" s="269" t="str">
        <f>$E$274</f>
        <v>ЗА РІК, ЩО ЗАКІНЧИВСЯ 31 ГРУДНЯ 2020 РОКУ</v>
      </c>
      <c r="F723" s="269"/>
      <c r="G723" s="269"/>
      <c r="H723" s="269"/>
      <c r="I723" s="269"/>
      <c r="J723" s="269"/>
      <c r="K723" s="269"/>
      <c r="L723" s="269"/>
      <c r="M723" s="269"/>
      <c r="N723" s="269"/>
      <c r="O723" s="269"/>
      <c r="P723" s="269"/>
      <c r="Q723" s="269"/>
      <c r="R723" s="269"/>
      <c r="S723" s="269"/>
      <c r="T723" s="269"/>
      <c r="U723" s="269"/>
      <c r="V723" s="269"/>
      <c r="W723" s="269"/>
      <c r="X723" s="269"/>
      <c r="Y723" s="269"/>
      <c r="Z723" s="269"/>
      <c r="AA723" s="269"/>
      <c r="AB723" s="269"/>
      <c r="AC723" s="269"/>
      <c r="AD723" s="269"/>
      <c r="AE723" s="269"/>
      <c r="AF723" s="269"/>
      <c r="AG723" s="269"/>
      <c r="AH723" s="269"/>
      <c r="AI723" s="269"/>
      <c r="AJ723" s="269"/>
      <c r="AK723" s="269"/>
      <c r="AL723" s="269"/>
      <c r="AM723" s="269"/>
    </row>
    <row r="724" spans="1:39" s="231" customFormat="1">
      <c r="A724" s="1"/>
      <c r="B724" s="1"/>
      <c r="C724" s="2"/>
      <c r="D724" s="1"/>
      <c r="E724" s="244" t="str">
        <f>$E$209</f>
        <v>(в тисячах гривень, якщо не вказано інше)</v>
      </c>
      <c r="F724" s="244"/>
      <c r="G724" s="244"/>
      <c r="H724" s="244"/>
      <c r="I724" s="244"/>
      <c r="J724" s="244"/>
      <c r="K724" s="244"/>
      <c r="L724" s="244"/>
      <c r="M724" s="244"/>
      <c r="N724" s="244"/>
      <c r="O724" s="244"/>
      <c r="P724" s="244"/>
      <c r="Q724" s="244"/>
      <c r="R724" s="244"/>
      <c r="S724" s="244"/>
      <c r="T724" s="244"/>
      <c r="U724" s="244"/>
      <c r="V724" s="244"/>
      <c r="W724" s="244"/>
      <c r="X724" s="244"/>
      <c r="Y724" s="244"/>
      <c r="Z724" s="244"/>
      <c r="AA724" s="244"/>
      <c r="AB724" s="244"/>
      <c r="AC724" s="244"/>
      <c r="AD724" s="244"/>
      <c r="AE724" s="244"/>
      <c r="AF724" s="244"/>
      <c r="AG724" s="244"/>
      <c r="AH724" s="244"/>
      <c r="AI724" s="244"/>
      <c r="AJ724" s="244"/>
      <c r="AK724" s="244"/>
      <c r="AL724" s="244"/>
      <c r="AM724" s="244"/>
    </row>
    <row r="725" spans="1:39" s="231" customFormat="1">
      <c r="A725" s="1"/>
      <c r="B725" s="1"/>
      <c r="C725" s="2"/>
      <c r="D725" s="1"/>
      <c r="E725" s="265"/>
      <c r="F725" s="265"/>
      <c r="G725" s="265"/>
      <c r="H725" s="265"/>
      <c r="I725" s="265"/>
      <c r="J725" s="265"/>
      <c r="K725" s="265"/>
      <c r="L725" s="265"/>
      <c r="M725" s="265"/>
      <c r="N725" s="265"/>
      <c r="O725" s="265"/>
      <c r="P725" s="265"/>
      <c r="Q725" s="265"/>
      <c r="R725" s="265"/>
      <c r="S725" s="265"/>
      <c r="T725" s="265"/>
      <c r="U725" s="265"/>
      <c r="V725" s="265"/>
      <c r="W725" s="265"/>
      <c r="X725" s="265"/>
      <c r="Y725" s="265"/>
      <c r="Z725" s="265"/>
      <c r="AA725" s="265"/>
      <c r="AB725" s="265"/>
      <c r="AC725" s="265"/>
      <c r="AD725" s="265"/>
      <c r="AE725" s="265"/>
      <c r="AF725" s="265"/>
      <c r="AG725" s="265"/>
      <c r="AH725" s="265"/>
      <c r="AI725" s="265"/>
      <c r="AJ725" s="265"/>
      <c r="AK725" s="265"/>
      <c r="AL725" s="265"/>
      <c r="AM725" s="265"/>
    </row>
    <row r="726" spans="1:39" s="231" customFormat="1" ht="14.1" customHeight="1">
      <c r="A726" s="1"/>
      <c r="B726" s="1"/>
      <c r="C726" s="2"/>
      <c r="D726" s="1"/>
      <c r="E726" s="248"/>
      <c r="F726" s="55"/>
      <c r="G726" s="55"/>
      <c r="H726" s="661"/>
      <c r="I726" s="661"/>
      <c r="J726" s="661"/>
      <c r="K726" s="661"/>
      <c r="L726" s="661"/>
      <c r="M726" s="661"/>
      <c r="N726" s="661"/>
      <c r="O726" s="661"/>
      <c r="P726" s="661"/>
      <c r="Q726" s="661"/>
      <c r="R726" s="661"/>
      <c r="S726" s="661"/>
      <c r="T726" s="661"/>
      <c r="U726" s="661"/>
      <c r="V726" s="661"/>
      <c r="W726" s="661"/>
      <c r="X726" s="661"/>
      <c r="Y726" s="661"/>
      <c r="Z726" s="661"/>
      <c r="AA726" s="661"/>
      <c r="AB726" s="661"/>
      <c r="AC726" s="661"/>
      <c r="AD726" s="661"/>
      <c r="AE726" s="661"/>
      <c r="AF726" s="661"/>
      <c r="AG726" s="661"/>
      <c r="AH726" s="661"/>
      <c r="AI726" s="661"/>
      <c r="AJ726" s="661"/>
      <c r="AK726" s="55"/>
      <c r="AL726" s="55"/>
      <c r="AM726" s="55"/>
    </row>
    <row r="727" spans="1:39">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c r="AG727" s="54"/>
      <c r="AH727" s="54"/>
      <c r="AI727" s="54"/>
      <c r="AJ727" s="54"/>
      <c r="AK727" s="54"/>
      <c r="AL727" s="54"/>
      <c r="AM727" s="54"/>
    </row>
    <row r="728" spans="1:39" ht="12.75" customHeight="1">
      <c r="D728" s="1">
        <v>6</v>
      </c>
      <c r="E728" s="54"/>
      <c r="F728" s="664" t="s">
        <v>1364</v>
      </c>
      <c r="G728" s="664"/>
      <c r="H728" s="661" t="s">
        <v>201</v>
      </c>
      <c r="I728" s="661"/>
      <c r="J728" s="661"/>
      <c r="K728" s="661"/>
      <c r="L728" s="661"/>
      <c r="M728" s="661"/>
      <c r="N728" s="661"/>
      <c r="O728" s="661"/>
      <c r="P728" s="661"/>
      <c r="Q728" s="661"/>
      <c r="R728" s="661"/>
      <c r="S728" s="55"/>
      <c r="T728" s="55"/>
      <c r="U728" s="55"/>
      <c r="V728" s="55"/>
      <c r="W728" s="55"/>
      <c r="X728" s="55"/>
      <c r="Y728" s="55"/>
      <c r="Z728" s="55"/>
      <c r="AA728" s="55"/>
      <c r="AB728" s="55"/>
      <c r="AC728" s="55"/>
      <c r="AD728" s="55"/>
      <c r="AE728" s="55"/>
      <c r="AF728" s="55"/>
      <c r="AG728" s="55"/>
      <c r="AH728" s="55"/>
      <c r="AI728" s="55"/>
      <c r="AJ728" s="55"/>
      <c r="AK728" s="55"/>
      <c r="AL728" s="55"/>
      <c r="AM728" s="55"/>
    </row>
    <row r="729" spans="1:39" ht="14.1" customHeight="1">
      <c r="E729" s="53"/>
      <c r="F729" s="625" t="s">
        <v>202</v>
      </c>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250"/>
    </row>
    <row r="730" spans="1:39">
      <c r="E730" s="53"/>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250"/>
    </row>
    <row r="731" spans="1:39" ht="30.95" customHeight="1">
      <c r="E731" s="53"/>
      <c r="F731" s="625"/>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250"/>
    </row>
    <row r="732" spans="1:39" ht="15.95" customHeight="1">
      <c r="E732" s="54"/>
      <c r="F732" s="569" t="s">
        <v>203</v>
      </c>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69"/>
      <c r="AL732" s="569"/>
      <c r="AM732" s="249"/>
    </row>
    <row r="733" spans="1:39" ht="21" customHeight="1">
      <c r="E733" s="54"/>
      <c r="F733" s="569"/>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69"/>
      <c r="AL733" s="569"/>
      <c r="AM733" s="249"/>
    </row>
    <row r="734" spans="1:39">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c r="AK734" s="54"/>
      <c r="AL734" s="54"/>
      <c r="AM734" s="54"/>
    </row>
    <row r="735" spans="1:39" ht="12.75" customHeight="1">
      <c r="E735" s="54"/>
      <c r="F735" s="569" t="s">
        <v>204</v>
      </c>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69"/>
      <c r="AD735" s="569"/>
      <c r="AE735" s="569"/>
      <c r="AF735" s="569"/>
      <c r="AG735" s="569"/>
      <c r="AH735" s="569"/>
      <c r="AI735" s="569"/>
      <c r="AJ735" s="569"/>
      <c r="AK735" s="569"/>
      <c r="AL735" s="569"/>
      <c r="AM735" s="249"/>
    </row>
    <row r="736" spans="1:39" ht="12.75" customHeight="1">
      <c r="E736" s="54"/>
      <c r="F736" s="56" t="s">
        <v>24</v>
      </c>
      <c r="G736" s="625" t="s">
        <v>205</v>
      </c>
      <c r="H736" s="625"/>
      <c r="I736" s="625"/>
      <c r="J736" s="625"/>
      <c r="K736" s="625"/>
      <c r="L736" s="625"/>
      <c r="M736" s="625"/>
      <c r="N736" s="625"/>
      <c r="O736" s="625"/>
      <c r="P736" s="625"/>
      <c r="Q736" s="625"/>
      <c r="R736" s="625"/>
      <c r="S736" s="625"/>
      <c r="T736" s="625"/>
      <c r="U736" s="625"/>
      <c r="V736" s="625"/>
      <c r="W736" s="250"/>
      <c r="X736" s="250"/>
      <c r="Y736" s="250"/>
      <c r="Z736" s="250"/>
      <c r="AA736" s="250"/>
      <c r="AB736" s="250"/>
      <c r="AC736" s="250"/>
      <c r="AD736" s="250"/>
      <c r="AE736" s="250"/>
      <c r="AF736" s="250"/>
      <c r="AG736" s="250"/>
      <c r="AH736" s="250"/>
      <c r="AI736" s="250"/>
      <c r="AJ736" s="250"/>
      <c r="AK736" s="250"/>
      <c r="AL736" s="250"/>
      <c r="AM736" s="250"/>
    </row>
    <row r="737" spans="1:39" ht="12.75" customHeight="1">
      <c r="E737" s="54"/>
      <c r="F737" s="56" t="s">
        <v>24</v>
      </c>
      <c r="G737" s="625" t="s">
        <v>206</v>
      </c>
      <c r="H737" s="625"/>
      <c r="I737" s="625"/>
      <c r="J737" s="625"/>
      <c r="K737" s="625"/>
      <c r="L737" s="625"/>
      <c r="M737" s="625"/>
      <c r="N737" s="625"/>
      <c r="O737" s="625"/>
      <c r="P737" s="625"/>
      <c r="Q737" s="625"/>
      <c r="R737" s="625"/>
      <c r="S737" s="625"/>
      <c r="T737" s="625"/>
      <c r="U737" s="625"/>
      <c r="V737" s="625"/>
      <c r="W737" s="250"/>
      <c r="X737" s="250"/>
      <c r="Y737" s="250"/>
      <c r="Z737" s="250"/>
      <c r="AA737" s="250"/>
      <c r="AB737" s="250"/>
      <c r="AC737" s="250"/>
      <c r="AD737" s="250"/>
      <c r="AE737" s="250"/>
      <c r="AF737" s="250"/>
      <c r="AG737" s="250"/>
      <c r="AH737" s="250"/>
      <c r="AI737" s="250"/>
      <c r="AJ737" s="250"/>
      <c r="AK737" s="250"/>
      <c r="AL737" s="250"/>
      <c r="AM737" s="250"/>
    </row>
    <row r="738" spans="1:39" ht="3.75" customHeight="1">
      <c r="E738" s="54"/>
      <c r="F738" s="54"/>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row>
    <row r="739" spans="1:39" ht="15" customHeight="1">
      <c r="E739" s="54"/>
      <c r="F739" s="569" t="s">
        <v>207</v>
      </c>
      <c r="G739" s="569"/>
      <c r="H739" s="569"/>
      <c r="I739" s="569"/>
      <c r="J739" s="569"/>
      <c r="K739" s="569"/>
      <c r="L739" s="569"/>
      <c r="M739" s="569"/>
      <c r="N739" s="569"/>
      <c r="O739" s="569"/>
      <c r="P739" s="569"/>
      <c r="Q739" s="569"/>
      <c r="R739" s="569"/>
      <c r="S739" s="569"/>
      <c r="T739" s="569"/>
      <c r="U739" s="569"/>
      <c r="V739" s="569"/>
      <c r="W739" s="569"/>
      <c r="X739" s="569"/>
      <c r="Y739" s="569"/>
      <c r="Z739" s="569"/>
      <c r="AA739" s="569"/>
      <c r="AB739" s="569"/>
      <c r="AC739" s="569"/>
      <c r="AD739" s="569"/>
      <c r="AE739" s="569"/>
      <c r="AF739" s="569"/>
      <c r="AG739" s="569"/>
      <c r="AH739" s="569"/>
      <c r="AI739" s="569"/>
      <c r="AJ739" s="569"/>
      <c r="AK739" s="569"/>
      <c r="AL739" s="569"/>
      <c r="AM739" s="249"/>
    </row>
    <row r="740" spans="1:39" ht="24.75" customHeight="1">
      <c r="E740" s="54"/>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69"/>
      <c r="AL740" s="569"/>
      <c r="AM740" s="249"/>
    </row>
    <row r="741" spans="1:39" ht="5.25" customHeight="1">
      <c r="E741" s="54"/>
      <c r="F741" s="54"/>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row>
    <row r="742" spans="1:39" ht="12.75" customHeight="1">
      <c r="E742" s="54"/>
      <c r="F742" s="569" t="s">
        <v>208</v>
      </c>
      <c r="G742" s="569"/>
      <c r="H742" s="569"/>
      <c r="I742" s="569"/>
      <c r="J742" s="569"/>
      <c r="K742" s="569"/>
      <c r="L742" s="569"/>
      <c r="M742" s="569"/>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69"/>
      <c r="AL742" s="569"/>
      <c r="AM742" s="249"/>
    </row>
    <row r="743" spans="1:39">
      <c r="E743" s="54"/>
      <c r="F743" s="569"/>
      <c r="G743" s="569"/>
      <c r="H743" s="569"/>
      <c r="I743" s="569"/>
      <c r="J743" s="569"/>
      <c r="K743" s="569"/>
      <c r="L743" s="569"/>
      <c r="M743" s="569"/>
      <c r="N743" s="569"/>
      <c r="O743" s="569"/>
      <c r="P743" s="569"/>
      <c r="Q743" s="569"/>
      <c r="R743" s="569"/>
      <c r="S743" s="569"/>
      <c r="T743" s="569"/>
      <c r="U743" s="569"/>
      <c r="V743" s="569"/>
      <c r="W743" s="569"/>
      <c r="X743" s="569"/>
      <c r="Y743" s="569"/>
      <c r="Z743" s="569"/>
      <c r="AA743" s="569"/>
      <c r="AB743" s="569"/>
      <c r="AC743" s="569"/>
      <c r="AD743" s="569"/>
      <c r="AE743" s="569"/>
      <c r="AF743" s="569"/>
      <c r="AG743" s="569"/>
      <c r="AH743" s="569"/>
      <c r="AI743" s="569"/>
      <c r="AJ743" s="569"/>
      <c r="AK743" s="569"/>
      <c r="AL743" s="569"/>
      <c r="AM743" s="249"/>
    </row>
    <row r="744" spans="1:39">
      <c r="E744" s="54"/>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249"/>
    </row>
    <row r="745" spans="1:39" s="96" customFormat="1">
      <c r="A745" s="1"/>
      <c r="B745" s="1"/>
      <c r="C745" s="2"/>
      <c r="D745" s="1"/>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row>
    <row r="746" spans="1:39" s="96" customFormat="1" ht="14.1" customHeight="1">
      <c r="A746" s="1"/>
      <c r="B746" s="1"/>
      <c r="C746" s="2"/>
      <c r="D746" s="1"/>
      <c r="E746" s="94"/>
      <c r="F746" s="665" t="s">
        <v>1365</v>
      </c>
      <c r="G746" s="665"/>
      <c r="H746" s="661" t="s">
        <v>209</v>
      </c>
      <c r="I746" s="661"/>
      <c r="J746" s="661"/>
      <c r="K746" s="661"/>
      <c r="L746" s="661"/>
      <c r="M746" s="661"/>
      <c r="N746" s="661"/>
      <c r="O746" s="661"/>
      <c r="P746" s="661"/>
      <c r="Q746" s="661"/>
      <c r="R746" s="661"/>
      <c r="S746" s="661"/>
      <c r="T746" s="661"/>
      <c r="U746" s="661"/>
      <c r="V746" s="661"/>
      <c r="W746" s="661"/>
      <c r="X746" s="661"/>
      <c r="Y746" s="661"/>
      <c r="Z746" s="661"/>
      <c r="AA746" s="661"/>
      <c r="AB746" s="661"/>
      <c r="AC746" s="661"/>
      <c r="AD746" s="661"/>
      <c r="AE746" s="661"/>
      <c r="AF746" s="661"/>
      <c r="AG746" s="661"/>
      <c r="AH746" s="55"/>
      <c r="AI746" s="55"/>
      <c r="AJ746" s="55"/>
      <c r="AK746" s="55"/>
      <c r="AL746" s="55"/>
      <c r="AM746" s="55"/>
    </row>
    <row r="747" spans="1:39" s="231" customFormat="1" ht="14.1" customHeight="1">
      <c r="A747" s="1"/>
      <c r="B747" s="1"/>
      <c r="C747" s="2"/>
      <c r="D747" s="1"/>
      <c r="E747" s="248"/>
      <c r="F747" s="569" t="s">
        <v>1424</v>
      </c>
      <c r="G747" s="569"/>
      <c r="H747" s="569"/>
      <c r="I747" s="569"/>
      <c r="J747" s="569"/>
      <c r="K747" s="569"/>
      <c r="L747" s="569"/>
      <c r="M747" s="569"/>
      <c r="N747" s="569"/>
      <c r="O747" s="569"/>
      <c r="P747" s="569"/>
      <c r="Q747" s="569"/>
      <c r="R747" s="569"/>
      <c r="S747" s="569"/>
      <c r="T747" s="569"/>
      <c r="U747" s="569"/>
      <c r="V747" s="569"/>
      <c r="W747" s="569"/>
      <c r="X747" s="569"/>
      <c r="Y747" s="569"/>
      <c r="Z747" s="569"/>
      <c r="AA747" s="569"/>
      <c r="AB747" s="569"/>
      <c r="AC747" s="569"/>
      <c r="AD747" s="569"/>
      <c r="AE747" s="569"/>
      <c r="AF747" s="569"/>
      <c r="AG747" s="569"/>
      <c r="AH747" s="569"/>
      <c r="AI747" s="569"/>
      <c r="AJ747" s="569"/>
      <c r="AK747" s="569"/>
      <c r="AL747" s="569"/>
      <c r="AM747" s="249"/>
    </row>
    <row r="748" spans="1:39" s="231" customFormat="1">
      <c r="A748" s="1"/>
      <c r="B748" s="1"/>
      <c r="C748" s="2"/>
      <c r="D748" s="1"/>
      <c r="E748" s="248"/>
      <c r="F748" s="569"/>
      <c r="G748" s="569"/>
      <c r="H748" s="569"/>
      <c r="I748" s="569"/>
      <c r="J748" s="569"/>
      <c r="K748" s="569"/>
      <c r="L748" s="569"/>
      <c r="M748" s="569"/>
      <c r="N748" s="569"/>
      <c r="O748" s="569"/>
      <c r="P748" s="569"/>
      <c r="Q748" s="569"/>
      <c r="R748" s="569"/>
      <c r="S748" s="569"/>
      <c r="T748" s="569"/>
      <c r="U748" s="569"/>
      <c r="V748" s="569"/>
      <c r="W748" s="569"/>
      <c r="X748" s="569"/>
      <c r="Y748" s="569"/>
      <c r="Z748" s="569"/>
      <c r="AA748" s="569"/>
      <c r="AB748" s="569"/>
      <c r="AC748" s="569"/>
      <c r="AD748" s="569"/>
      <c r="AE748" s="569"/>
      <c r="AF748" s="569"/>
      <c r="AG748" s="569"/>
      <c r="AH748" s="569"/>
      <c r="AI748" s="569"/>
      <c r="AJ748" s="569"/>
      <c r="AK748" s="569"/>
      <c r="AL748" s="569"/>
      <c r="AM748" s="249"/>
    </row>
    <row r="749" spans="1:39" s="231" customFormat="1" ht="90.95" customHeight="1">
      <c r="A749" s="1"/>
      <c r="B749" s="1"/>
      <c r="C749" s="2"/>
      <c r="D749" s="1"/>
      <c r="E749" s="248"/>
      <c r="F749" s="569"/>
      <c r="G749" s="569"/>
      <c r="H749" s="569"/>
      <c r="I749" s="569"/>
      <c r="J749" s="569"/>
      <c r="K749" s="569"/>
      <c r="L749" s="569"/>
      <c r="M749" s="569"/>
      <c r="N749" s="569"/>
      <c r="O749" s="569"/>
      <c r="P749" s="569"/>
      <c r="Q749" s="569"/>
      <c r="R749" s="569"/>
      <c r="S749" s="569"/>
      <c r="T749" s="569"/>
      <c r="U749" s="569"/>
      <c r="V749" s="569"/>
      <c r="W749" s="569"/>
      <c r="X749" s="569"/>
      <c r="Y749" s="569"/>
      <c r="Z749" s="569"/>
      <c r="AA749" s="569"/>
      <c r="AB749" s="569"/>
      <c r="AC749" s="569"/>
      <c r="AD749" s="569"/>
      <c r="AE749" s="569"/>
      <c r="AF749" s="569"/>
      <c r="AG749" s="569"/>
      <c r="AH749" s="569"/>
      <c r="AI749" s="569"/>
      <c r="AJ749" s="569"/>
      <c r="AK749" s="569"/>
      <c r="AL749" s="569"/>
      <c r="AM749" s="249"/>
    </row>
    <row r="750" spans="1:39" s="231" customFormat="1" ht="14.1" customHeight="1">
      <c r="A750" s="1"/>
      <c r="B750" s="1"/>
      <c r="C750" s="2"/>
      <c r="D750" s="1"/>
      <c r="E750" s="248"/>
      <c r="F750" s="569" t="s">
        <v>1366</v>
      </c>
      <c r="G750" s="569"/>
      <c r="H750" s="569"/>
      <c r="I750" s="569"/>
      <c r="J750" s="569"/>
      <c r="K750" s="569"/>
      <c r="L750" s="569"/>
      <c r="M750" s="569"/>
      <c r="N750" s="569"/>
      <c r="O750" s="569"/>
      <c r="P750" s="569"/>
      <c r="Q750" s="569"/>
      <c r="R750" s="569"/>
      <c r="S750" s="569"/>
      <c r="T750" s="569"/>
      <c r="U750" s="569"/>
      <c r="V750" s="569"/>
      <c r="W750" s="569"/>
      <c r="X750" s="569"/>
      <c r="Y750" s="569"/>
      <c r="Z750" s="569"/>
      <c r="AA750" s="569"/>
      <c r="AB750" s="569"/>
      <c r="AC750" s="569"/>
      <c r="AD750" s="569"/>
      <c r="AE750" s="569"/>
      <c r="AF750" s="569"/>
      <c r="AG750" s="569"/>
      <c r="AH750" s="569"/>
      <c r="AI750" s="569"/>
      <c r="AJ750" s="569"/>
      <c r="AK750" s="569"/>
      <c r="AL750" s="569"/>
      <c r="AM750" s="249"/>
    </row>
    <row r="751" spans="1:39" s="231" customFormat="1">
      <c r="A751" s="1"/>
      <c r="B751" s="1"/>
      <c r="C751" s="2"/>
      <c r="D751" s="1"/>
      <c r="E751" s="248"/>
      <c r="F751" s="569"/>
      <c r="G751" s="569"/>
      <c r="H751" s="569"/>
      <c r="I751" s="569"/>
      <c r="J751" s="569"/>
      <c r="K751" s="569"/>
      <c r="L751" s="569"/>
      <c r="M751" s="569"/>
      <c r="N751" s="569"/>
      <c r="O751" s="569"/>
      <c r="P751" s="569"/>
      <c r="Q751" s="569"/>
      <c r="R751" s="569"/>
      <c r="S751" s="569"/>
      <c r="T751" s="569"/>
      <c r="U751" s="569"/>
      <c r="V751" s="569"/>
      <c r="W751" s="569"/>
      <c r="X751" s="569"/>
      <c r="Y751" s="569"/>
      <c r="Z751" s="569"/>
      <c r="AA751" s="569"/>
      <c r="AB751" s="569"/>
      <c r="AC751" s="569"/>
      <c r="AD751" s="569"/>
      <c r="AE751" s="569"/>
      <c r="AF751" s="569"/>
      <c r="AG751" s="569"/>
      <c r="AH751" s="569"/>
      <c r="AI751" s="569"/>
      <c r="AJ751" s="569"/>
      <c r="AK751" s="569"/>
      <c r="AL751" s="569"/>
      <c r="AM751" s="249"/>
    </row>
    <row r="752" spans="1:39" s="231" customFormat="1">
      <c r="A752" s="1"/>
      <c r="B752" s="1"/>
      <c r="C752" s="2"/>
      <c r="D752" s="1"/>
      <c r="E752" s="248"/>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69"/>
      <c r="AB752" s="569"/>
      <c r="AC752" s="569"/>
      <c r="AD752" s="569"/>
      <c r="AE752" s="569"/>
      <c r="AF752" s="569"/>
      <c r="AG752" s="569"/>
      <c r="AH752" s="569"/>
      <c r="AI752" s="569"/>
      <c r="AJ752" s="569"/>
      <c r="AK752" s="569"/>
      <c r="AL752" s="569"/>
      <c r="AM752" s="249"/>
    </row>
    <row r="753" spans="1:39" s="231" customFormat="1">
      <c r="A753" s="1"/>
      <c r="B753" s="1"/>
      <c r="C753" s="2"/>
      <c r="D753" s="1"/>
      <c r="E753" s="248"/>
      <c r="F753" s="569"/>
      <c r="G753" s="569"/>
      <c r="H753" s="569"/>
      <c r="I753" s="569"/>
      <c r="J753" s="569"/>
      <c r="K753" s="569"/>
      <c r="L753" s="569"/>
      <c r="M753" s="569"/>
      <c r="N753" s="569"/>
      <c r="O753" s="569"/>
      <c r="P753" s="569"/>
      <c r="Q753" s="569"/>
      <c r="R753" s="569"/>
      <c r="S753" s="569"/>
      <c r="T753" s="569"/>
      <c r="U753" s="569"/>
      <c r="V753" s="569"/>
      <c r="W753" s="569"/>
      <c r="X753" s="569"/>
      <c r="Y753" s="569"/>
      <c r="Z753" s="569"/>
      <c r="AA753" s="569"/>
      <c r="AB753" s="569"/>
      <c r="AC753" s="569"/>
      <c r="AD753" s="569"/>
      <c r="AE753" s="569"/>
      <c r="AF753" s="569"/>
      <c r="AG753" s="569"/>
      <c r="AH753" s="569"/>
      <c r="AI753" s="569"/>
      <c r="AJ753" s="569"/>
      <c r="AK753" s="569"/>
      <c r="AL753" s="569"/>
      <c r="AM753" s="249"/>
    </row>
    <row r="754" spans="1:39" s="231" customFormat="1" ht="14.1" customHeight="1">
      <c r="A754" s="1"/>
      <c r="B754" s="1"/>
      <c r="C754" s="2"/>
      <c r="D754" s="1"/>
      <c r="E754" s="248"/>
      <c r="F754" s="752" t="s">
        <v>1366</v>
      </c>
      <c r="G754" s="752"/>
      <c r="H754" s="752"/>
      <c r="I754" s="752"/>
      <c r="J754" s="752"/>
      <c r="K754" s="752"/>
      <c r="L754" s="752"/>
      <c r="M754" s="752"/>
      <c r="N754" s="752"/>
      <c r="O754" s="752"/>
      <c r="P754" s="752"/>
      <c r="Q754" s="752"/>
      <c r="R754" s="752"/>
      <c r="S754" s="752"/>
      <c r="T754" s="752"/>
      <c r="U754" s="752"/>
      <c r="V754" s="752"/>
      <c r="W754" s="752"/>
      <c r="X754" s="752"/>
      <c r="Y754" s="752"/>
      <c r="Z754" s="752"/>
      <c r="AA754" s="752"/>
      <c r="AB754" s="752"/>
      <c r="AC754" s="752"/>
      <c r="AD754" s="752"/>
      <c r="AE754" s="752"/>
      <c r="AF754" s="752"/>
      <c r="AG754" s="752"/>
      <c r="AH754" s="752"/>
      <c r="AI754" s="752"/>
      <c r="AJ754" s="752"/>
      <c r="AK754" s="752"/>
      <c r="AL754" s="752"/>
      <c r="AM754" s="249"/>
    </row>
    <row r="755" spans="1:39" s="231" customFormat="1">
      <c r="A755" s="1"/>
      <c r="B755" s="1"/>
      <c r="C755" s="2"/>
      <c r="D755" s="1"/>
      <c r="E755" s="248"/>
      <c r="F755" s="752"/>
      <c r="G755" s="752"/>
      <c r="H755" s="752"/>
      <c r="I755" s="752"/>
      <c r="J755" s="752"/>
      <c r="K755" s="752"/>
      <c r="L755" s="752"/>
      <c r="M755" s="752"/>
      <c r="N755" s="752"/>
      <c r="O755" s="752"/>
      <c r="P755" s="752"/>
      <c r="Q755" s="752"/>
      <c r="R755" s="752"/>
      <c r="S755" s="752"/>
      <c r="T755" s="752"/>
      <c r="U755" s="752"/>
      <c r="V755" s="752"/>
      <c r="W755" s="752"/>
      <c r="X755" s="752"/>
      <c r="Y755" s="752"/>
      <c r="Z755" s="752"/>
      <c r="AA755" s="752"/>
      <c r="AB755" s="752"/>
      <c r="AC755" s="752"/>
      <c r="AD755" s="752"/>
      <c r="AE755" s="752"/>
      <c r="AF755" s="752"/>
      <c r="AG755" s="752"/>
      <c r="AH755" s="752"/>
      <c r="AI755" s="752"/>
      <c r="AJ755" s="752"/>
      <c r="AK755" s="752"/>
      <c r="AL755" s="752"/>
      <c r="AM755" s="249"/>
    </row>
    <row r="756" spans="1:39" s="231" customFormat="1">
      <c r="A756" s="1"/>
      <c r="B756" s="1"/>
      <c r="C756" s="2"/>
      <c r="D756" s="1"/>
      <c r="E756" s="248"/>
      <c r="F756" s="752"/>
      <c r="G756" s="752"/>
      <c r="H756" s="752"/>
      <c r="I756" s="752"/>
      <c r="J756" s="752"/>
      <c r="K756" s="752"/>
      <c r="L756" s="752"/>
      <c r="M756" s="752"/>
      <c r="N756" s="752"/>
      <c r="O756" s="752"/>
      <c r="P756" s="752"/>
      <c r="Q756" s="752"/>
      <c r="R756" s="752"/>
      <c r="S756" s="752"/>
      <c r="T756" s="752"/>
      <c r="U756" s="752"/>
      <c r="V756" s="752"/>
      <c r="W756" s="752"/>
      <c r="X756" s="752"/>
      <c r="Y756" s="752"/>
      <c r="Z756" s="752"/>
      <c r="AA756" s="752"/>
      <c r="AB756" s="752"/>
      <c r="AC756" s="752"/>
      <c r="AD756" s="752"/>
      <c r="AE756" s="752"/>
      <c r="AF756" s="752"/>
      <c r="AG756" s="752"/>
      <c r="AH756" s="752"/>
      <c r="AI756" s="752"/>
      <c r="AJ756" s="752"/>
      <c r="AK756" s="752"/>
      <c r="AL756" s="752"/>
      <c r="AM756" s="249"/>
    </row>
    <row r="757" spans="1:39" s="231" customFormat="1" ht="15" customHeight="1">
      <c r="A757" s="1"/>
      <c r="B757" s="1"/>
      <c r="C757" s="2"/>
      <c r="D757" s="1"/>
      <c r="E757" s="248"/>
      <c r="F757" s="752"/>
      <c r="G757" s="752"/>
      <c r="H757" s="752"/>
      <c r="I757" s="752"/>
      <c r="J757" s="752"/>
      <c r="K757" s="752"/>
      <c r="L757" s="752"/>
      <c r="M757" s="752"/>
      <c r="N757" s="752"/>
      <c r="O757" s="752"/>
      <c r="P757" s="752"/>
      <c r="Q757" s="752"/>
      <c r="R757" s="752"/>
      <c r="S757" s="752"/>
      <c r="T757" s="752"/>
      <c r="U757" s="752"/>
      <c r="V757" s="752"/>
      <c r="W757" s="752"/>
      <c r="X757" s="752"/>
      <c r="Y757" s="752"/>
      <c r="Z757" s="752"/>
      <c r="AA757" s="752"/>
      <c r="AB757" s="752"/>
      <c r="AC757" s="752"/>
      <c r="AD757" s="752"/>
      <c r="AE757" s="752"/>
      <c r="AF757" s="752"/>
      <c r="AG757" s="752"/>
      <c r="AH757" s="752"/>
      <c r="AI757" s="752"/>
      <c r="AJ757" s="752"/>
      <c r="AK757" s="752"/>
      <c r="AL757" s="752"/>
      <c r="AM757" s="249"/>
    </row>
    <row r="758" spans="1:39" s="231" customFormat="1" ht="14.1" customHeight="1">
      <c r="A758" s="1"/>
      <c r="B758" s="1"/>
      <c r="C758" s="2"/>
      <c r="D758" s="1"/>
      <c r="E758" s="248"/>
      <c r="F758" s="667" t="s">
        <v>1367</v>
      </c>
      <c r="G758" s="667"/>
      <c r="H758" s="667"/>
      <c r="I758" s="667"/>
      <c r="J758" s="667"/>
      <c r="K758" s="667"/>
      <c r="L758" s="667"/>
      <c r="M758" s="667"/>
      <c r="N758" s="667"/>
      <c r="O758" s="667"/>
      <c r="P758" s="667"/>
      <c r="Q758" s="667"/>
      <c r="R758" s="667"/>
      <c r="S758" s="667"/>
      <c r="T758" s="667"/>
      <c r="U758" s="667"/>
      <c r="V758" s="667"/>
      <c r="W758" s="667"/>
      <c r="X758" s="667"/>
      <c r="Y758" s="667"/>
      <c r="Z758" s="667"/>
      <c r="AA758" s="667"/>
      <c r="AB758" s="667"/>
      <c r="AC758" s="667"/>
      <c r="AD758" s="667"/>
      <c r="AE758" s="667"/>
      <c r="AF758" s="667"/>
      <c r="AG758" s="667"/>
      <c r="AH758" s="667"/>
      <c r="AI758" s="667"/>
      <c r="AJ758" s="667"/>
      <c r="AK758" s="667"/>
      <c r="AL758" s="667"/>
      <c r="AM758" s="285"/>
    </row>
    <row r="759" spans="1:39" s="231" customFormat="1">
      <c r="A759" s="1"/>
      <c r="B759" s="1"/>
      <c r="C759" s="2"/>
      <c r="D759" s="1"/>
      <c r="E759" s="248"/>
      <c r="F759" s="667"/>
      <c r="G759" s="667"/>
      <c r="H759" s="667"/>
      <c r="I759" s="667"/>
      <c r="J759" s="667"/>
      <c r="K759" s="667"/>
      <c r="L759" s="667"/>
      <c r="M759" s="667"/>
      <c r="N759" s="667"/>
      <c r="O759" s="667"/>
      <c r="P759" s="667"/>
      <c r="Q759" s="667"/>
      <c r="R759" s="667"/>
      <c r="S759" s="667"/>
      <c r="T759" s="667"/>
      <c r="U759" s="667"/>
      <c r="V759" s="667"/>
      <c r="W759" s="667"/>
      <c r="X759" s="667"/>
      <c r="Y759" s="667"/>
      <c r="Z759" s="667"/>
      <c r="AA759" s="667"/>
      <c r="AB759" s="667"/>
      <c r="AC759" s="667"/>
      <c r="AD759" s="667"/>
      <c r="AE759" s="667"/>
      <c r="AF759" s="667"/>
      <c r="AG759" s="667"/>
      <c r="AH759" s="667"/>
      <c r="AI759" s="667"/>
      <c r="AJ759" s="667"/>
      <c r="AK759" s="667"/>
      <c r="AL759" s="667"/>
      <c r="AM759" s="285"/>
    </row>
    <row r="760" spans="1:39" s="231" customFormat="1">
      <c r="A760" s="1"/>
      <c r="B760" s="1"/>
      <c r="C760" s="2"/>
      <c r="D760" s="1"/>
      <c r="E760" s="248"/>
      <c r="F760" s="667"/>
      <c r="G760" s="667"/>
      <c r="H760" s="667"/>
      <c r="I760" s="667"/>
      <c r="J760" s="667"/>
      <c r="K760" s="667"/>
      <c r="L760" s="667"/>
      <c r="M760" s="667"/>
      <c r="N760" s="667"/>
      <c r="O760" s="667"/>
      <c r="P760" s="667"/>
      <c r="Q760" s="667"/>
      <c r="R760" s="667"/>
      <c r="S760" s="667"/>
      <c r="T760" s="667"/>
      <c r="U760" s="667"/>
      <c r="V760" s="667"/>
      <c r="W760" s="667"/>
      <c r="X760" s="667"/>
      <c r="Y760" s="667"/>
      <c r="Z760" s="667"/>
      <c r="AA760" s="667"/>
      <c r="AB760" s="667"/>
      <c r="AC760" s="667"/>
      <c r="AD760" s="667"/>
      <c r="AE760" s="667"/>
      <c r="AF760" s="667"/>
      <c r="AG760" s="667"/>
      <c r="AH760" s="667"/>
      <c r="AI760" s="667"/>
      <c r="AJ760" s="667"/>
      <c r="AK760" s="667"/>
      <c r="AL760" s="667"/>
      <c r="AM760" s="285"/>
    </row>
    <row r="761" spans="1:39" s="231" customFormat="1">
      <c r="A761" s="1"/>
      <c r="B761" s="1"/>
      <c r="C761" s="2"/>
      <c r="D761" s="1"/>
      <c r="E761" s="248"/>
      <c r="F761" s="667"/>
      <c r="G761" s="667"/>
      <c r="H761" s="667"/>
      <c r="I761" s="667"/>
      <c r="J761" s="667"/>
      <c r="K761" s="667"/>
      <c r="L761" s="667"/>
      <c r="M761" s="667"/>
      <c r="N761" s="667"/>
      <c r="O761" s="667"/>
      <c r="P761" s="667"/>
      <c r="Q761" s="667"/>
      <c r="R761" s="667"/>
      <c r="S761" s="667"/>
      <c r="T761" s="667"/>
      <c r="U761" s="667"/>
      <c r="V761" s="667"/>
      <c r="W761" s="667"/>
      <c r="X761" s="667"/>
      <c r="Y761" s="667"/>
      <c r="Z761" s="667"/>
      <c r="AA761" s="667"/>
      <c r="AB761" s="667"/>
      <c r="AC761" s="667"/>
      <c r="AD761" s="667"/>
      <c r="AE761" s="667"/>
      <c r="AF761" s="667"/>
      <c r="AG761" s="667"/>
      <c r="AH761" s="667"/>
      <c r="AI761" s="667"/>
      <c r="AJ761" s="667"/>
      <c r="AK761" s="667"/>
      <c r="AL761" s="667"/>
      <c r="AM761" s="285"/>
    </row>
    <row r="762" spans="1:39" s="231" customFormat="1">
      <c r="A762" s="1"/>
      <c r="B762" s="1"/>
      <c r="C762" s="2"/>
      <c r="D762" s="1"/>
      <c r="E762" s="248"/>
      <c r="F762" s="667"/>
      <c r="G762" s="667"/>
      <c r="H762" s="667"/>
      <c r="I762" s="667"/>
      <c r="J762" s="667"/>
      <c r="K762" s="667"/>
      <c r="L762" s="667"/>
      <c r="M762" s="667"/>
      <c r="N762" s="667"/>
      <c r="O762" s="667"/>
      <c r="P762" s="667"/>
      <c r="Q762" s="667"/>
      <c r="R762" s="667"/>
      <c r="S762" s="667"/>
      <c r="T762" s="667"/>
      <c r="U762" s="667"/>
      <c r="V762" s="667"/>
      <c r="W762" s="667"/>
      <c r="X762" s="667"/>
      <c r="Y762" s="667"/>
      <c r="Z762" s="667"/>
      <c r="AA762" s="667"/>
      <c r="AB762" s="667"/>
      <c r="AC762" s="667"/>
      <c r="AD762" s="667"/>
      <c r="AE762" s="667"/>
      <c r="AF762" s="667"/>
      <c r="AG762" s="667"/>
      <c r="AH762" s="667"/>
      <c r="AI762" s="667"/>
      <c r="AJ762" s="667"/>
      <c r="AK762" s="667"/>
      <c r="AL762" s="667"/>
      <c r="AM762" s="285"/>
    </row>
    <row r="763" spans="1:39" s="231" customFormat="1">
      <c r="A763" s="1"/>
      <c r="B763" s="1"/>
      <c r="C763" s="2"/>
      <c r="D763" s="1"/>
      <c r="E763" s="248"/>
      <c r="F763" s="667"/>
      <c r="G763" s="667"/>
      <c r="H763" s="667"/>
      <c r="I763" s="667"/>
      <c r="J763" s="667"/>
      <c r="K763" s="667"/>
      <c r="L763" s="667"/>
      <c r="M763" s="667"/>
      <c r="N763" s="667"/>
      <c r="O763" s="667"/>
      <c r="P763" s="667"/>
      <c r="Q763" s="667"/>
      <c r="R763" s="667"/>
      <c r="S763" s="667"/>
      <c r="T763" s="667"/>
      <c r="U763" s="667"/>
      <c r="V763" s="667"/>
      <c r="W763" s="667"/>
      <c r="X763" s="667"/>
      <c r="Y763" s="667"/>
      <c r="Z763" s="667"/>
      <c r="AA763" s="667"/>
      <c r="AB763" s="667"/>
      <c r="AC763" s="667"/>
      <c r="AD763" s="667"/>
      <c r="AE763" s="667"/>
      <c r="AF763" s="667"/>
      <c r="AG763" s="667"/>
      <c r="AH763" s="667"/>
      <c r="AI763" s="667"/>
      <c r="AJ763" s="667"/>
      <c r="AK763" s="667"/>
      <c r="AL763" s="667"/>
      <c r="AM763" s="285"/>
    </row>
    <row r="764" spans="1:39" s="231" customFormat="1">
      <c r="A764" s="1"/>
      <c r="B764" s="1"/>
      <c r="C764" s="2"/>
      <c r="D764" s="1"/>
      <c r="E764" s="248"/>
      <c r="F764" s="667"/>
      <c r="G764" s="667"/>
      <c r="H764" s="667"/>
      <c r="I764" s="667"/>
      <c r="J764" s="667"/>
      <c r="K764" s="667"/>
      <c r="L764" s="667"/>
      <c r="M764" s="667"/>
      <c r="N764" s="667"/>
      <c r="O764" s="667"/>
      <c r="P764" s="667"/>
      <c r="Q764" s="667"/>
      <c r="R764" s="667"/>
      <c r="S764" s="667"/>
      <c r="T764" s="667"/>
      <c r="U764" s="667"/>
      <c r="V764" s="667"/>
      <c r="W764" s="667"/>
      <c r="X764" s="667"/>
      <c r="Y764" s="667"/>
      <c r="Z764" s="667"/>
      <c r="AA764" s="667"/>
      <c r="AB764" s="667"/>
      <c r="AC764" s="667"/>
      <c r="AD764" s="667"/>
      <c r="AE764" s="667"/>
      <c r="AF764" s="667"/>
      <c r="AG764" s="667"/>
      <c r="AH764" s="667"/>
      <c r="AI764" s="667"/>
      <c r="AJ764" s="667"/>
      <c r="AK764" s="667"/>
      <c r="AL764" s="667"/>
      <c r="AM764" s="285"/>
    </row>
    <row r="765" spans="1:39" s="231" customFormat="1">
      <c r="A765" s="1"/>
      <c r="B765" s="1"/>
      <c r="C765" s="2"/>
      <c r="D765" s="1"/>
      <c r="E765" s="248"/>
      <c r="F765" s="667"/>
      <c r="G765" s="667"/>
      <c r="H765" s="667"/>
      <c r="I765" s="667"/>
      <c r="J765" s="667"/>
      <c r="K765" s="667"/>
      <c r="L765" s="667"/>
      <c r="M765" s="667"/>
      <c r="N765" s="667"/>
      <c r="O765" s="667"/>
      <c r="P765" s="667"/>
      <c r="Q765" s="667"/>
      <c r="R765" s="667"/>
      <c r="S765" s="667"/>
      <c r="T765" s="667"/>
      <c r="U765" s="667"/>
      <c r="V765" s="667"/>
      <c r="W765" s="667"/>
      <c r="X765" s="667"/>
      <c r="Y765" s="667"/>
      <c r="Z765" s="667"/>
      <c r="AA765" s="667"/>
      <c r="AB765" s="667"/>
      <c r="AC765" s="667"/>
      <c r="AD765" s="667"/>
      <c r="AE765" s="667"/>
      <c r="AF765" s="667"/>
      <c r="AG765" s="667"/>
      <c r="AH765" s="667"/>
      <c r="AI765" s="667"/>
      <c r="AJ765" s="667"/>
      <c r="AK765" s="667"/>
      <c r="AL765" s="667"/>
      <c r="AM765" s="285"/>
    </row>
    <row r="766" spans="1:39" s="231" customFormat="1" ht="15" customHeight="1">
      <c r="A766" s="1"/>
      <c r="B766" s="1"/>
      <c r="C766" s="2"/>
      <c r="D766" s="1"/>
      <c r="E766" s="248"/>
      <c r="F766" s="667"/>
      <c r="G766" s="667"/>
      <c r="H766" s="667"/>
      <c r="I766" s="667"/>
      <c r="J766" s="667"/>
      <c r="K766" s="667"/>
      <c r="L766" s="667"/>
      <c r="M766" s="667"/>
      <c r="N766" s="667"/>
      <c r="O766" s="667"/>
      <c r="P766" s="667"/>
      <c r="Q766" s="667"/>
      <c r="R766" s="667"/>
      <c r="S766" s="667"/>
      <c r="T766" s="667"/>
      <c r="U766" s="667"/>
      <c r="V766" s="667"/>
      <c r="W766" s="667"/>
      <c r="X766" s="667"/>
      <c r="Y766" s="667"/>
      <c r="Z766" s="667"/>
      <c r="AA766" s="667"/>
      <c r="AB766" s="667"/>
      <c r="AC766" s="667"/>
      <c r="AD766" s="667"/>
      <c r="AE766" s="667"/>
      <c r="AF766" s="667"/>
      <c r="AG766" s="667"/>
      <c r="AH766" s="667"/>
      <c r="AI766" s="667"/>
      <c r="AJ766" s="667"/>
      <c r="AK766" s="667"/>
      <c r="AL766" s="667"/>
      <c r="AM766" s="285"/>
    </row>
    <row r="767" spans="1:39" s="231" customFormat="1" ht="33.950000000000003" customHeight="1">
      <c r="A767" s="1"/>
      <c r="B767" s="1"/>
      <c r="C767" s="2"/>
      <c r="D767" s="1"/>
      <c r="E767" s="248"/>
      <c r="F767" s="667"/>
      <c r="G767" s="667"/>
      <c r="H767" s="667"/>
      <c r="I767" s="667"/>
      <c r="J767" s="667"/>
      <c r="K767" s="667"/>
      <c r="L767" s="667"/>
      <c r="M767" s="667"/>
      <c r="N767" s="667"/>
      <c r="O767" s="667"/>
      <c r="P767" s="667"/>
      <c r="Q767" s="667"/>
      <c r="R767" s="667"/>
      <c r="S767" s="667"/>
      <c r="T767" s="667"/>
      <c r="U767" s="667"/>
      <c r="V767" s="667"/>
      <c r="W767" s="667"/>
      <c r="X767" s="667"/>
      <c r="Y767" s="667"/>
      <c r="Z767" s="667"/>
      <c r="AA767" s="667"/>
      <c r="AB767" s="667"/>
      <c r="AC767" s="667"/>
      <c r="AD767" s="667"/>
      <c r="AE767" s="667"/>
      <c r="AF767" s="667"/>
      <c r="AG767" s="667"/>
      <c r="AH767" s="667"/>
      <c r="AI767" s="667"/>
      <c r="AJ767" s="667"/>
      <c r="AK767" s="667"/>
      <c r="AL767" s="667"/>
      <c r="AM767" s="248"/>
    </row>
    <row r="768" spans="1:39" s="231" customFormat="1" ht="14.1" customHeight="1">
      <c r="A768" s="1"/>
      <c r="B768" s="1"/>
      <c r="C768" s="2"/>
      <c r="D768" s="1"/>
      <c r="E768" s="248"/>
      <c r="F768" s="569" t="s">
        <v>1368</v>
      </c>
      <c r="G768" s="569"/>
      <c r="H768" s="569"/>
      <c r="I768" s="569"/>
      <c r="J768" s="569"/>
      <c r="K768" s="569"/>
      <c r="L768" s="569"/>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69"/>
      <c r="AJ768" s="569"/>
      <c r="AK768" s="569"/>
      <c r="AL768" s="569"/>
      <c r="AM768" s="249"/>
    </row>
    <row r="769" spans="1:39" s="231" customFormat="1">
      <c r="A769" s="1"/>
      <c r="B769" s="1"/>
      <c r="C769" s="2"/>
      <c r="D769" s="1"/>
      <c r="E769" s="248"/>
      <c r="F769" s="569"/>
      <c r="G769" s="569"/>
      <c r="H769" s="569"/>
      <c r="I769" s="569"/>
      <c r="J769" s="569"/>
      <c r="K769" s="569"/>
      <c r="L769" s="569"/>
      <c r="M769" s="569"/>
      <c r="N769" s="569"/>
      <c r="O769" s="569"/>
      <c r="P769" s="569"/>
      <c r="Q769" s="569"/>
      <c r="R769" s="569"/>
      <c r="S769" s="569"/>
      <c r="T769" s="569"/>
      <c r="U769" s="569"/>
      <c r="V769" s="569"/>
      <c r="W769" s="569"/>
      <c r="X769" s="569"/>
      <c r="Y769" s="569"/>
      <c r="Z769" s="569"/>
      <c r="AA769" s="569"/>
      <c r="AB769" s="569"/>
      <c r="AC769" s="569"/>
      <c r="AD769" s="569"/>
      <c r="AE769" s="569"/>
      <c r="AF769" s="569"/>
      <c r="AG769" s="569"/>
      <c r="AH769" s="569"/>
      <c r="AI769" s="569"/>
      <c r="AJ769" s="569"/>
      <c r="AK769" s="569"/>
      <c r="AL769" s="569"/>
      <c r="AM769" s="249"/>
    </row>
    <row r="770" spans="1:39" s="231" customFormat="1">
      <c r="A770" s="1"/>
      <c r="B770" s="1"/>
      <c r="C770" s="2"/>
      <c r="D770" s="1"/>
      <c r="E770" s="248"/>
      <c r="F770" s="569"/>
      <c r="G770" s="569"/>
      <c r="H770" s="569"/>
      <c r="I770" s="569"/>
      <c r="J770" s="569"/>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69"/>
      <c r="AJ770" s="569"/>
      <c r="AK770" s="569"/>
      <c r="AL770" s="569"/>
      <c r="AM770" s="249"/>
    </row>
    <row r="771" spans="1:39" s="231" customFormat="1">
      <c r="A771" s="1"/>
      <c r="B771" s="1"/>
      <c r="C771" s="2"/>
      <c r="D771" s="1"/>
      <c r="E771" s="248"/>
      <c r="F771" s="569"/>
      <c r="G771" s="569"/>
      <c r="H771" s="569"/>
      <c r="I771" s="569"/>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69"/>
      <c r="AJ771" s="569"/>
      <c r="AK771" s="569"/>
      <c r="AL771" s="569"/>
      <c r="AM771" s="249"/>
    </row>
    <row r="772" spans="1:39" s="231" customFormat="1" ht="39.75" customHeight="1">
      <c r="A772" s="1"/>
      <c r="B772" s="1"/>
      <c r="C772" s="2"/>
      <c r="D772" s="1"/>
      <c r="E772" s="248"/>
      <c r="F772" s="569"/>
      <c r="G772" s="569"/>
      <c r="H772" s="569"/>
      <c r="I772" s="569"/>
      <c r="J772" s="569"/>
      <c r="K772" s="569"/>
      <c r="L772" s="569"/>
      <c r="M772" s="569"/>
      <c r="N772" s="569"/>
      <c r="O772" s="569"/>
      <c r="P772" s="569"/>
      <c r="Q772" s="569"/>
      <c r="R772" s="569"/>
      <c r="S772" s="569"/>
      <c r="T772" s="569"/>
      <c r="U772" s="569"/>
      <c r="V772" s="569"/>
      <c r="W772" s="569"/>
      <c r="X772" s="569"/>
      <c r="Y772" s="569"/>
      <c r="Z772" s="569"/>
      <c r="AA772" s="569"/>
      <c r="AB772" s="569"/>
      <c r="AC772" s="569"/>
      <c r="AD772" s="569"/>
      <c r="AE772" s="569"/>
      <c r="AF772" s="569"/>
      <c r="AG772" s="569"/>
      <c r="AH772" s="569"/>
      <c r="AI772" s="569"/>
      <c r="AJ772" s="569"/>
      <c r="AK772" s="569"/>
      <c r="AL772" s="569"/>
      <c r="AM772" s="249"/>
    </row>
    <row r="773" spans="1:39" s="361" customFormat="1" ht="13.5" customHeight="1">
      <c r="A773" s="1"/>
      <c r="B773" s="1"/>
      <c r="C773" s="2"/>
      <c r="D773" s="1"/>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358" t="s">
        <v>24</v>
      </c>
      <c r="AK773" s="612">
        <f>AK720+1</f>
        <v>12</v>
      </c>
      <c r="AL773" s="612"/>
      <c r="AM773" s="358" t="s">
        <v>24</v>
      </c>
    </row>
    <row r="774" spans="1:39" s="361" customFormat="1" ht="13.5" customHeight="1">
      <c r="A774" s="1"/>
      <c r="B774" s="1"/>
      <c r="C774" s="2"/>
      <c r="D774" s="1"/>
      <c r="E774" s="366"/>
      <c r="F774" s="366"/>
      <c r="G774" s="366"/>
      <c r="H774" s="366"/>
      <c r="I774" s="366"/>
      <c r="J774" s="366"/>
      <c r="K774" s="366"/>
      <c r="L774" s="366"/>
      <c r="M774" s="366"/>
      <c r="N774" s="366"/>
      <c r="O774" s="366"/>
      <c r="P774" s="366"/>
      <c r="Q774" s="366"/>
      <c r="R774" s="366"/>
      <c r="S774" s="366"/>
      <c r="T774" s="366"/>
      <c r="U774" s="366"/>
      <c r="V774" s="366"/>
      <c r="W774" s="366"/>
      <c r="X774" s="366"/>
      <c r="Y774" s="366"/>
      <c r="Z774" s="366"/>
      <c r="AA774" s="366"/>
      <c r="AB774" s="366"/>
      <c r="AC774" s="366"/>
      <c r="AD774" s="366"/>
      <c r="AE774" s="366"/>
      <c r="AF774" s="366"/>
      <c r="AG774" s="366"/>
      <c r="AH774" s="366"/>
      <c r="AI774" s="366"/>
      <c r="AJ774" s="362"/>
      <c r="AK774" s="362"/>
      <c r="AL774" s="362"/>
      <c r="AM774" s="362"/>
    </row>
    <row r="775" spans="1:39" s="361" customFormat="1" ht="13.5" customHeight="1">
      <c r="A775" s="1"/>
      <c r="B775" s="1"/>
      <c r="C775" s="2"/>
      <c r="D775" s="1"/>
      <c r="E775" s="366"/>
      <c r="F775" s="366"/>
      <c r="G775" s="366"/>
      <c r="H775" s="366"/>
      <c r="I775" s="366"/>
      <c r="J775" s="366"/>
      <c r="K775" s="366"/>
      <c r="L775" s="366"/>
      <c r="M775" s="366"/>
      <c r="N775" s="366"/>
      <c r="O775" s="366"/>
      <c r="P775" s="366"/>
      <c r="Q775" s="366"/>
      <c r="R775" s="366"/>
      <c r="S775" s="366"/>
      <c r="T775" s="366"/>
      <c r="U775" s="366"/>
      <c r="V775" s="366"/>
      <c r="W775" s="366"/>
      <c r="X775" s="366"/>
      <c r="Y775" s="366"/>
      <c r="Z775" s="366"/>
      <c r="AA775" s="366"/>
      <c r="AB775" s="366"/>
      <c r="AC775" s="366"/>
      <c r="AD775" s="366"/>
      <c r="AE775" s="366"/>
      <c r="AF775" s="366"/>
      <c r="AG775" s="366"/>
      <c r="AH775" s="366"/>
      <c r="AI775" s="366"/>
      <c r="AJ775" s="362"/>
      <c r="AK775" s="362"/>
      <c r="AL775" s="362"/>
      <c r="AM775" s="362"/>
    </row>
    <row r="776" spans="1:39" s="361" customFormat="1" ht="13.5" customHeight="1">
      <c r="A776" s="1"/>
      <c r="B776" s="1"/>
      <c r="C776" s="2"/>
      <c r="D776" s="1"/>
      <c r="E776" s="366"/>
      <c r="F776" s="366"/>
      <c r="G776" s="366"/>
      <c r="H776" s="366"/>
      <c r="I776" s="366"/>
      <c r="J776" s="366"/>
      <c r="K776" s="366"/>
      <c r="L776" s="366"/>
      <c r="M776" s="366"/>
      <c r="N776" s="366"/>
      <c r="O776" s="366"/>
      <c r="P776" s="366"/>
      <c r="Q776" s="366"/>
      <c r="R776" s="366"/>
      <c r="S776" s="366"/>
      <c r="T776" s="366"/>
      <c r="U776" s="366"/>
      <c r="V776" s="366"/>
      <c r="W776" s="366"/>
      <c r="X776" s="366"/>
      <c r="Y776" s="366"/>
      <c r="Z776" s="366"/>
      <c r="AA776" s="366"/>
      <c r="AB776" s="366"/>
      <c r="AC776" s="366"/>
      <c r="AD776" s="366"/>
      <c r="AE776" s="366"/>
      <c r="AF776" s="366"/>
      <c r="AG776" s="366"/>
      <c r="AH776" s="366"/>
      <c r="AI776" s="366"/>
      <c r="AJ776" s="362"/>
      <c r="AK776" s="362"/>
      <c r="AL776" s="362"/>
      <c r="AM776" s="362"/>
    </row>
    <row r="777" spans="1:39" s="361" customFormat="1" ht="13.5" customHeight="1">
      <c r="A777" s="1"/>
      <c r="B777" s="1"/>
      <c r="C777" s="2"/>
      <c r="D777" s="1"/>
      <c r="E777" s="265" t="str">
        <f>UPPER($Y$28)</f>
        <v>ПТ ЛОМБАРД "МЕРКУРІЙ"</v>
      </c>
      <c r="F777" s="265"/>
      <c r="G777" s="265"/>
      <c r="H777" s="265"/>
      <c r="I777" s="265"/>
      <c r="J777" s="265"/>
      <c r="K777" s="265"/>
      <c r="L777" s="265"/>
      <c r="M777" s="265"/>
      <c r="N777" s="265"/>
      <c r="O777" s="265"/>
      <c r="P777" s="265"/>
      <c r="Q777" s="265"/>
      <c r="R777" s="265"/>
      <c r="S777" s="265"/>
      <c r="T777" s="265"/>
      <c r="U777" s="265"/>
      <c r="V777" s="265"/>
      <c r="W777" s="265"/>
      <c r="X777" s="265"/>
      <c r="Y777" s="265"/>
      <c r="Z777" s="265"/>
      <c r="AA777" s="265"/>
      <c r="AB777" s="265"/>
      <c r="AC777" s="265"/>
      <c r="AD777" s="265"/>
      <c r="AE777" s="265"/>
      <c r="AF777" s="265"/>
      <c r="AG777" s="265"/>
      <c r="AH777" s="265"/>
      <c r="AI777" s="265"/>
      <c r="AJ777" s="265"/>
      <c r="AK777" s="265"/>
      <c r="AL777" s="265"/>
      <c r="AM777" s="265"/>
    </row>
    <row r="778" spans="1:39" s="361" customFormat="1" ht="13.5" customHeight="1">
      <c r="A778" s="1"/>
      <c r="B778" s="1"/>
      <c r="C778" s="2"/>
      <c r="D778" s="1"/>
      <c r="E778" s="269" t="s">
        <v>143</v>
      </c>
      <c r="F778" s="269"/>
      <c r="G778" s="269"/>
      <c r="H778" s="269"/>
      <c r="I778" s="269"/>
      <c r="J778" s="269"/>
      <c r="K778" s="269"/>
      <c r="L778" s="269"/>
      <c r="M778" s="269"/>
      <c r="N778" s="269"/>
      <c r="O778" s="269"/>
      <c r="P778" s="269"/>
      <c r="Q778" s="269"/>
      <c r="R778" s="269"/>
      <c r="S778" s="269"/>
      <c r="T778" s="269"/>
      <c r="U778" s="269"/>
      <c r="V778" s="269"/>
      <c r="W778" s="269"/>
      <c r="X778" s="269"/>
      <c r="Y778" s="269"/>
      <c r="Z778" s="269"/>
      <c r="AA778" s="269"/>
      <c r="AB778" s="269"/>
      <c r="AC778" s="269"/>
      <c r="AD778" s="269"/>
      <c r="AE778" s="269"/>
      <c r="AF778" s="269"/>
      <c r="AG778" s="269"/>
      <c r="AH778" s="269"/>
      <c r="AI778" s="269"/>
      <c r="AJ778" s="269"/>
      <c r="AK778" s="269"/>
      <c r="AL778" s="269"/>
      <c r="AM778" s="269"/>
    </row>
    <row r="779" spans="1:39" s="361" customFormat="1" ht="13.5" customHeight="1">
      <c r="A779" s="1"/>
      <c r="B779" s="1"/>
      <c r="C779" s="2"/>
      <c r="D779" s="1"/>
      <c r="E779" s="269" t="str">
        <f>$E$274</f>
        <v>ЗА РІК, ЩО ЗАКІНЧИВСЯ 31 ГРУДНЯ 2020 РОКУ</v>
      </c>
      <c r="F779" s="269"/>
      <c r="G779" s="269"/>
      <c r="H779" s="269"/>
      <c r="I779" s="269"/>
      <c r="J779" s="269"/>
      <c r="K779" s="269"/>
      <c r="L779" s="269"/>
      <c r="M779" s="269"/>
      <c r="N779" s="269"/>
      <c r="O779" s="269"/>
      <c r="P779" s="269"/>
      <c r="Q779" s="269"/>
      <c r="R779" s="269"/>
      <c r="S779" s="269"/>
      <c r="T779" s="269"/>
      <c r="U779" s="269"/>
      <c r="V779" s="269"/>
      <c r="W779" s="269"/>
      <c r="X779" s="269"/>
      <c r="Y779" s="269"/>
      <c r="Z779" s="269"/>
      <c r="AA779" s="269"/>
      <c r="AB779" s="269"/>
      <c r="AC779" s="269"/>
      <c r="AD779" s="269"/>
      <c r="AE779" s="269"/>
      <c r="AF779" s="269"/>
      <c r="AG779" s="269"/>
      <c r="AH779" s="269"/>
      <c r="AI779" s="269"/>
      <c r="AJ779" s="269"/>
      <c r="AK779" s="269"/>
      <c r="AL779" s="269"/>
      <c r="AM779" s="269"/>
    </row>
    <row r="780" spans="1:39" s="361" customFormat="1" ht="13.5" customHeight="1">
      <c r="A780" s="1"/>
      <c r="B780" s="1"/>
      <c r="C780" s="2"/>
      <c r="D780" s="1"/>
      <c r="E780" s="244" t="str">
        <f>$E$209</f>
        <v>(в тисячах гривень, якщо не вказано інше)</v>
      </c>
      <c r="F780" s="244"/>
      <c r="G780" s="244"/>
      <c r="H780" s="244"/>
      <c r="I780" s="244"/>
      <c r="J780" s="244"/>
      <c r="K780" s="244"/>
      <c r="L780" s="244"/>
      <c r="M780" s="244"/>
      <c r="N780" s="244"/>
      <c r="O780" s="244"/>
      <c r="P780" s="244"/>
      <c r="Q780" s="244"/>
      <c r="R780" s="244"/>
      <c r="S780" s="244"/>
      <c r="T780" s="244"/>
      <c r="U780" s="244"/>
      <c r="V780" s="244"/>
      <c r="W780" s="244"/>
      <c r="X780" s="244"/>
      <c r="Y780" s="244"/>
      <c r="Z780" s="244"/>
      <c r="AA780" s="244"/>
      <c r="AB780" s="244"/>
      <c r="AC780" s="244"/>
      <c r="AD780" s="244"/>
      <c r="AE780" s="244"/>
      <c r="AF780" s="244"/>
      <c r="AG780" s="244"/>
      <c r="AH780" s="244"/>
      <c r="AI780" s="244"/>
      <c r="AJ780" s="244"/>
      <c r="AK780" s="244"/>
      <c r="AL780" s="244"/>
      <c r="AM780" s="244"/>
    </row>
    <row r="781" spans="1:39" s="361" customFormat="1" ht="13.5" customHeight="1">
      <c r="A781" s="1"/>
      <c r="B781" s="1"/>
      <c r="C781" s="2"/>
      <c r="D781" s="1"/>
      <c r="E781" s="363"/>
      <c r="F781" s="354"/>
      <c r="G781" s="354"/>
      <c r="H781" s="354"/>
      <c r="I781" s="354"/>
      <c r="J781" s="354"/>
      <c r="K781" s="354"/>
      <c r="L781" s="354"/>
      <c r="M781" s="354"/>
      <c r="N781" s="354"/>
      <c r="O781" s="354"/>
      <c r="P781" s="354"/>
      <c r="Q781" s="354"/>
      <c r="R781" s="354"/>
      <c r="S781" s="354"/>
      <c r="T781" s="354"/>
      <c r="U781" s="354"/>
      <c r="V781" s="354"/>
      <c r="W781" s="354"/>
      <c r="X781" s="354"/>
      <c r="Y781" s="354"/>
      <c r="Z781" s="354"/>
      <c r="AA781" s="354"/>
      <c r="AB781" s="354"/>
      <c r="AC781" s="354"/>
      <c r="AD781" s="354"/>
      <c r="AE781" s="354"/>
      <c r="AF781" s="354"/>
      <c r="AG781" s="354"/>
      <c r="AH781" s="354"/>
      <c r="AI781" s="354"/>
      <c r="AJ781" s="354"/>
      <c r="AK781" s="354"/>
      <c r="AL781" s="354"/>
      <c r="AM781" s="360"/>
    </row>
    <row r="782" spans="1:39" s="361" customFormat="1" ht="12" customHeight="1">
      <c r="A782" s="1"/>
      <c r="B782" s="1"/>
      <c r="C782" s="2"/>
      <c r="D782" s="1"/>
      <c r="E782" s="363"/>
      <c r="F782" s="354"/>
      <c r="G782" s="354"/>
      <c r="H782" s="354"/>
      <c r="I782" s="354"/>
      <c r="J782" s="354"/>
      <c r="K782" s="354"/>
      <c r="L782" s="354"/>
      <c r="M782" s="354"/>
      <c r="N782" s="354"/>
      <c r="O782" s="354"/>
      <c r="P782" s="354"/>
      <c r="Q782" s="354"/>
      <c r="R782" s="354"/>
      <c r="S782" s="354"/>
      <c r="T782" s="354"/>
      <c r="U782" s="354"/>
      <c r="V782" s="354"/>
      <c r="W782" s="354"/>
      <c r="X782" s="354"/>
      <c r="Y782" s="354"/>
      <c r="Z782" s="354"/>
      <c r="AA782" s="354"/>
      <c r="AB782" s="354"/>
      <c r="AC782" s="354"/>
      <c r="AD782" s="354"/>
      <c r="AE782" s="354"/>
      <c r="AF782" s="354"/>
      <c r="AG782" s="354"/>
      <c r="AH782" s="354"/>
      <c r="AI782" s="354"/>
      <c r="AJ782" s="354"/>
      <c r="AK782" s="354"/>
      <c r="AL782" s="354"/>
      <c r="AM782" s="360"/>
    </row>
    <row r="783" spans="1:39" s="231" customFormat="1" ht="14.1" customHeight="1">
      <c r="A783" s="1"/>
      <c r="B783" s="1"/>
      <c r="C783" s="2"/>
      <c r="D783" s="1"/>
      <c r="E783" s="248"/>
      <c r="F783" s="55" t="s">
        <v>1446</v>
      </c>
      <c r="G783" s="661" t="s">
        <v>1447</v>
      </c>
      <c r="H783" s="661"/>
      <c r="I783" s="661"/>
      <c r="J783" s="661"/>
      <c r="K783" s="661"/>
      <c r="L783" s="661"/>
      <c r="M783" s="661"/>
      <c r="N783" s="661"/>
      <c r="O783" s="661"/>
      <c r="P783" s="661"/>
      <c r="Q783" s="661"/>
      <c r="R783" s="661"/>
      <c r="S783" s="661"/>
      <c r="T783" s="661"/>
      <c r="U783" s="661"/>
      <c r="V783" s="661"/>
      <c r="W783" s="661"/>
      <c r="X783" s="661"/>
      <c r="Y783" s="661"/>
      <c r="Z783" s="661"/>
      <c r="AA783" s="661"/>
      <c r="AB783" s="661"/>
      <c r="AC783" s="661"/>
      <c r="AD783" s="661"/>
      <c r="AE783" s="661"/>
      <c r="AF783" s="661"/>
      <c r="AG783" s="661"/>
      <c r="AH783" s="661"/>
      <c r="AI783" s="55"/>
      <c r="AJ783" s="55"/>
      <c r="AK783" s="55"/>
      <c r="AL783" s="55"/>
      <c r="AM783" s="55"/>
    </row>
    <row r="784" spans="1:39" s="231" customFormat="1" ht="98.1" customHeight="1">
      <c r="A784" s="1"/>
      <c r="B784" s="1"/>
      <c r="C784" s="2"/>
      <c r="D784" s="1"/>
      <c r="E784" s="248"/>
      <c r="F784" s="753" t="s">
        <v>1422</v>
      </c>
      <c r="G784" s="753"/>
      <c r="H784" s="753"/>
      <c r="I784" s="753"/>
      <c r="J784" s="753"/>
      <c r="K784" s="753"/>
      <c r="L784" s="753"/>
      <c r="M784" s="753"/>
      <c r="N784" s="753"/>
      <c r="O784" s="753"/>
      <c r="P784" s="753"/>
      <c r="Q784" s="753"/>
      <c r="R784" s="753"/>
      <c r="S784" s="753"/>
      <c r="T784" s="753"/>
      <c r="U784" s="753"/>
      <c r="V784" s="753"/>
      <c r="W784" s="753"/>
      <c r="X784" s="753"/>
      <c r="Y784" s="753"/>
      <c r="Z784" s="753"/>
      <c r="AA784" s="753"/>
      <c r="AB784" s="753"/>
      <c r="AC784" s="753"/>
      <c r="AD784" s="753"/>
      <c r="AE784" s="753"/>
      <c r="AF784" s="753"/>
      <c r="AG784" s="753"/>
      <c r="AH784" s="753"/>
      <c r="AI784" s="753"/>
      <c r="AJ784" s="753"/>
      <c r="AK784" s="753"/>
      <c r="AL784" s="753"/>
      <c r="AM784" s="273"/>
    </row>
    <row r="785" spans="1:39" s="361" customFormat="1" ht="45.75" customHeight="1">
      <c r="A785" s="1"/>
      <c r="B785" s="1"/>
      <c r="C785" s="2"/>
      <c r="D785" s="1"/>
      <c r="E785" s="363"/>
      <c r="F785" s="753"/>
      <c r="G785" s="753"/>
      <c r="H785" s="753"/>
      <c r="I785" s="753"/>
      <c r="J785" s="753"/>
      <c r="K785" s="753"/>
      <c r="L785" s="753"/>
      <c r="M785" s="753"/>
      <c r="N785" s="753"/>
      <c r="O785" s="753"/>
      <c r="P785" s="753"/>
      <c r="Q785" s="753"/>
      <c r="R785" s="753"/>
      <c r="S785" s="753"/>
      <c r="T785" s="753"/>
      <c r="U785" s="753"/>
      <c r="V785" s="753"/>
      <c r="W785" s="753"/>
      <c r="X785" s="753"/>
      <c r="Y785" s="753"/>
      <c r="Z785" s="753"/>
      <c r="AA785" s="753"/>
      <c r="AB785" s="753"/>
      <c r="AC785" s="753"/>
      <c r="AD785" s="753"/>
      <c r="AE785" s="753"/>
      <c r="AF785" s="753"/>
      <c r="AG785" s="753"/>
      <c r="AH785" s="753"/>
      <c r="AI785" s="753"/>
      <c r="AJ785" s="753"/>
      <c r="AK785" s="753"/>
      <c r="AL785" s="753"/>
      <c r="AM785" s="273"/>
    </row>
    <row r="786" spans="1:39" s="231" customFormat="1" ht="12.75" customHeight="1">
      <c r="A786" s="1"/>
      <c r="B786" s="1"/>
      <c r="C786" s="2"/>
      <c r="D786" s="1"/>
      <c r="E786" s="248"/>
      <c r="F786" s="753"/>
      <c r="G786" s="753"/>
      <c r="H786" s="753"/>
      <c r="I786" s="753"/>
      <c r="J786" s="753"/>
      <c r="K786" s="753"/>
      <c r="L786" s="753"/>
      <c r="M786" s="753"/>
      <c r="N786" s="753"/>
      <c r="O786" s="753"/>
      <c r="P786" s="753"/>
      <c r="Q786" s="753"/>
      <c r="R786" s="753"/>
      <c r="S786" s="753"/>
      <c r="T786" s="753"/>
      <c r="U786" s="753"/>
      <c r="V786" s="753"/>
      <c r="W786" s="753"/>
      <c r="X786" s="753"/>
      <c r="Y786" s="753"/>
      <c r="Z786" s="753"/>
      <c r="AA786" s="753"/>
      <c r="AB786" s="753"/>
      <c r="AC786" s="753"/>
      <c r="AD786" s="753"/>
      <c r="AE786" s="753"/>
      <c r="AF786" s="753"/>
      <c r="AG786" s="753"/>
      <c r="AH786" s="753"/>
      <c r="AI786" s="753"/>
      <c r="AJ786" s="753"/>
      <c r="AK786" s="753"/>
      <c r="AL786" s="753"/>
      <c r="AM786" s="225"/>
    </row>
    <row r="787" spans="1:39" s="361" customFormat="1" ht="11.25" customHeight="1">
      <c r="A787" s="1"/>
      <c r="B787" s="1"/>
      <c r="C787" s="2"/>
      <c r="D787" s="1"/>
      <c r="E787" s="363"/>
      <c r="F787" s="374"/>
      <c r="G787" s="374"/>
      <c r="H787" s="374"/>
      <c r="I787" s="374"/>
      <c r="J787" s="374"/>
      <c r="K787" s="374"/>
      <c r="L787" s="374"/>
      <c r="M787" s="374"/>
      <c r="N787" s="374"/>
      <c r="O787" s="374"/>
      <c r="P787" s="374"/>
      <c r="Q787" s="374"/>
      <c r="R787" s="374"/>
      <c r="S787" s="374"/>
      <c r="T787" s="374"/>
      <c r="U787" s="374"/>
      <c r="V787" s="374"/>
      <c r="W787" s="374"/>
      <c r="X787" s="374"/>
      <c r="Y787" s="374"/>
      <c r="Z787" s="374"/>
      <c r="AA787" s="374"/>
      <c r="AB787" s="374"/>
      <c r="AC787" s="374"/>
      <c r="AD787" s="374"/>
      <c r="AE787" s="374"/>
      <c r="AF787" s="374"/>
      <c r="AG787" s="374"/>
      <c r="AH787" s="374"/>
      <c r="AI787" s="374"/>
      <c r="AJ787" s="374"/>
      <c r="AK787" s="374"/>
      <c r="AL787" s="374"/>
      <c r="AM787" s="354"/>
    </row>
    <row r="788" spans="1:39" s="231" customFormat="1" ht="75.95" customHeight="1">
      <c r="A788" s="1"/>
      <c r="B788" s="1"/>
      <c r="C788" s="2"/>
      <c r="D788" s="1"/>
      <c r="E788" s="248"/>
      <c r="F788" s="569" t="s">
        <v>1423</v>
      </c>
      <c r="G788" s="569"/>
      <c r="H788" s="569"/>
      <c r="I788" s="569"/>
      <c r="J788" s="569"/>
      <c r="K788" s="569"/>
      <c r="L788" s="569"/>
      <c r="M788" s="569"/>
      <c r="N788" s="569"/>
      <c r="O788" s="569"/>
      <c r="P788" s="569"/>
      <c r="Q788" s="569"/>
      <c r="R788" s="569"/>
      <c r="S788" s="569"/>
      <c r="T788" s="569"/>
      <c r="U788" s="569"/>
      <c r="V788" s="569"/>
      <c r="W788" s="569"/>
      <c r="X788" s="569"/>
      <c r="Y788" s="569"/>
      <c r="Z788" s="569"/>
      <c r="AA788" s="569"/>
      <c r="AB788" s="569"/>
      <c r="AC788" s="569"/>
      <c r="AD788" s="569"/>
      <c r="AE788" s="569"/>
      <c r="AF788" s="569"/>
      <c r="AG788" s="569"/>
      <c r="AH788" s="569"/>
      <c r="AI788" s="569"/>
      <c r="AJ788" s="569"/>
      <c r="AK788" s="569"/>
      <c r="AL788" s="569"/>
      <c r="AM788" s="249"/>
    </row>
    <row r="789" spans="1:39" s="231" customFormat="1">
      <c r="A789" s="1"/>
      <c r="B789" s="1"/>
      <c r="C789" s="2"/>
      <c r="D789" s="1"/>
      <c r="E789" s="248"/>
      <c r="F789" s="225"/>
      <c r="G789" s="225"/>
      <c r="H789" s="225"/>
      <c r="I789" s="225"/>
      <c r="J789" s="225"/>
      <c r="K789" s="225"/>
      <c r="L789" s="225"/>
      <c r="M789" s="225"/>
      <c r="N789" s="225"/>
      <c r="O789" s="225"/>
      <c r="P789" s="225"/>
      <c r="Q789" s="225"/>
      <c r="R789" s="225"/>
      <c r="S789" s="225"/>
      <c r="T789" s="225"/>
      <c r="U789" s="225"/>
      <c r="V789" s="225"/>
      <c r="W789" s="225"/>
      <c r="X789" s="225"/>
      <c r="Y789" s="225"/>
      <c r="Z789" s="225"/>
      <c r="AA789" s="225"/>
      <c r="AB789" s="225"/>
      <c r="AC789" s="225"/>
      <c r="AD789" s="225"/>
      <c r="AE789" s="225"/>
      <c r="AF789" s="225"/>
      <c r="AG789" s="225"/>
      <c r="AH789" s="225"/>
      <c r="AI789" s="225"/>
      <c r="AJ789" s="225"/>
      <c r="AK789" s="225"/>
      <c r="AL789" s="225"/>
      <c r="AM789" s="225"/>
    </row>
    <row r="790" spans="1:39" ht="12.75" customHeight="1">
      <c r="E790" s="54"/>
      <c r="F790" s="55" t="s">
        <v>1369</v>
      </c>
      <c r="G790" s="661" t="s">
        <v>1425</v>
      </c>
      <c r="H790" s="661"/>
      <c r="I790" s="661"/>
      <c r="J790" s="661"/>
      <c r="K790" s="661"/>
      <c r="L790" s="661"/>
      <c r="M790" s="661"/>
      <c r="N790" s="661"/>
      <c r="O790" s="661"/>
      <c r="P790" s="661"/>
      <c r="Q790" s="661"/>
      <c r="R790" s="661"/>
      <c r="S790" s="661"/>
      <c r="T790" s="661"/>
      <c r="U790" s="661"/>
      <c r="V790" s="661"/>
      <c r="W790" s="661"/>
      <c r="X790" s="661"/>
      <c r="Y790" s="55"/>
      <c r="Z790" s="55"/>
      <c r="AA790" s="55"/>
      <c r="AB790" s="55"/>
      <c r="AC790" s="55"/>
      <c r="AD790" s="55"/>
      <c r="AE790" s="55"/>
      <c r="AF790" s="55"/>
      <c r="AG790" s="55"/>
      <c r="AH790" s="55"/>
      <c r="AI790" s="55"/>
      <c r="AJ790" s="55"/>
      <c r="AK790" s="55"/>
      <c r="AL790" s="55"/>
      <c r="AM790" s="55"/>
    </row>
    <row r="791" spans="1:39" s="231" customFormat="1" ht="12.75" customHeight="1">
      <c r="A791" s="1"/>
      <c r="B791" s="1"/>
      <c r="C791" s="2"/>
      <c r="D791" s="1"/>
      <c r="E791" s="248"/>
      <c r="F791" s="569" t="s">
        <v>1371</v>
      </c>
      <c r="G791" s="569"/>
      <c r="H791" s="569"/>
      <c r="I791" s="569"/>
      <c r="J791" s="569"/>
      <c r="K791" s="569"/>
      <c r="L791" s="569"/>
      <c r="M791" s="569"/>
      <c r="N791" s="569"/>
      <c r="O791" s="569"/>
      <c r="P791" s="569"/>
      <c r="Q791" s="569"/>
      <c r="R791" s="569"/>
      <c r="S791" s="569"/>
      <c r="T791" s="569"/>
      <c r="U791" s="569"/>
      <c r="V791" s="569"/>
      <c r="W791" s="569"/>
      <c r="X791" s="569"/>
      <c r="Y791" s="569"/>
      <c r="Z791" s="569"/>
      <c r="AA791" s="569"/>
      <c r="AB791" s="569"/>
      <c r="AC791" s="569"/>
      <c r="AD791" s="569"/>
      <c r="AE791" s="569"/>
      <c r="AF791" s="569"/>
      <c r="AG791" s="569"/>
      <c r="AH791" s="569"/>
      <c r="AI791" s="569"/>
      <c r="AJ791" s="569"/>
      <c r="AK791" s="569"/>
      <c r="AL791" s="569"/>
      <c r="AM791" s="249"/>
    </row>
    <row r="792" spans="1:39" s="231" customFormat="1">
      <c r="A792" s="1"/>
      <c r="B792" s="1"/>
      <c r="C792" s="2"/>
      <c r="D792" s="1"/>
      <c r="E792" s="248"/>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69"/>
      <c r="AB792" s="569"/>
      <c r="AC792" s="569"/>
      <c r="AD792" s="569"/>
      <c r="AE792" s="569"/>
      <c r="AF792" s="569"/>
      <c r="AG792" s="569"/>
      <c r="AH792" s="569"/>
      <c r="AI792" s="569"/>
      <c r="AJ792" s="569"/>
      <c r="AK792" s="569"/>
      <c r="AL792" s="569"/>
      <c r="AM792" s="249"/>
    </row>
    <row r="793" spans="1:39" s="231" customFormat="1">
      <c r="A793" s="1"/>
      <c r="B793" s="1"/>
      <c r="C793" s="2"/>
      <c r="D793" s="1"/>
      <c r="E793" s="248"/>
      <c r="F793" s="569"/>
      <c r="G793" s="569"/>
      <c r="H793" s="569"/>
      <c r="I793" s="569"/>
      <c r="J793" s="569"/>
      <c r="K793" s="569"/>
      <c r="L793" s="569"/>
      <c r="M793" s="569"/>
      <c r="N793" s="569"/>
      <c r="O793" s="569"/>
      <c r="P793" s="569"/>
      <c r="Q793" s="569"/>
      <c r="R793" s="569"/>
      <c r="S793" s="569"/>
      <c r="T793" s="569"/>
      <c r="U793" s="569"/>
      <c r="V793" s="569"/>
      <c r="W793" s="569"/>
      <c r="X793" s="569"/>
      <c r="Y793" s="569"/>
      <c r="Z793" s="569"/>
      <c r="AA793" s="569"/>
      <c r="AB793" s="569"/>
      <c r="AC793" s="569"/>
      <c r="AD793" s="569"/>
      <c r="AE793" s="569"/>
      <c r="AF793" s="569"/>
      <c r="AG793" s="569"/>
      <c r="AH793" s="569"/>
      <c r="AI793" s="569"/>
      <c r="AJ793" s="569"/>
      <c r="AK793" s="569"/>
      <c r="AL793" s="569"/>
      <c r="AM793" s="249"/>
    </row>
    <row r="794" spans="1:39" s="231" customFormat="1">
      <c r="A794" s="1"/>
      <c r="B794" s="1"/>
      <c r="C794" s="2"/>
      <c r="D794" s="1"/>
      <c r="E794" s="248"/>
      <c r="F794" s="569"/>
      <c r="G794" s="569"/>
      <c r="H794" s="569"/>
      <c r="I794" s="569"/>
      <c r="J794" s="569"/>
      <c r="K794" s="569"/>
      <c r="L794" s="569"/>
      <c r="M794" s="569"/>
      <c r="N794" s="569"/>
      <c r="O794" s="569"/>
      <c r="P794" s="569"/>
      <c r="Q794" s="569"/>
      <c r="R794" s="569"/>
      <c r="S794" s="569"/>
      <c r="T794" s="569"/>
      <c r="U794" s="569"/>
      <c r="V794" s="569"/>
      <c r="W794" s="569"/>
      <c r="X794" s="569"/>
      <c r="Y794" s="569"/>
      <c r="Z794" s="569"/>
      <c r="AA794" s="569"/>
      <c r="AB794" s="569"/>
      <c r="AC794" s="569"/>
      <c r="AD794" s="569"/>
      <c r="AE794" s="569"/>
      <c r="AF794" s="569"/>
      <c r="AG794" s="569"/>
      <c r="AH794" s="569"/>
      <c r="AI794" s="569"/>
      <c r="AJ794" s="569"/>
      <c r="AK794" s="569"/>
      <c r="AL794" s="569"/>
      <c r="AM794" s="249"/>
    </row>
    <row r="795" spans="1:39" s="231" customFormat="1" ht="27" customHeight="1">
      <c r="A795" s="1"/>
      <c r="B795" s="1"/>
      <c r="C795" s="2"/>
      <c r="D795" s="1"/>
      <c r="E795" s="248"/>
      <c r="F795" s="569"/>
      <c r="G795" s="569"/>
      <c r="H795" s="569"/>
      <c r="I795" s="569"/>
      <c r="J795" s="569"/>
      <c r="K795" s="569"/>
      <c r="L795" s="569"/>
      <c r="M795" s="569"/>
      <c r="N795" s="569"/>
      <c r="O795" s="569"/>
      <c r="P795" s="569"/>
      <c r="Q795" s="569"/>
      <c r="R795" s="569"/>
      <c r="S795" s="569"/>
      <c r="T795" s="569"/>
      <c r="U795" s="569"/>
      <c r="V795" s="569"/>
      <c r="W795" s="569"/>
      <c r="X795" s="569"/>
      <c r="Y795" s="569"/>
      <c r="Z795" s="569"/>
      <c r="AA795" s="569"/>
      <c r="AB795" s="569"/>
      <c r="AC795" s="569"/>
      <c r="AD795" s="569"/>
      <c r="AE795" s="569"/>
      <c r="AF795" s="569"/>
      <c r="AG795" s="569"/>
      <c r="AH795" s="569"/>
      <c r="AI795" s="569"/>
      <c r="AJ795" s="569"/>
      <c r="AK795" s="569"/>
      <c r="AL795" s="569"/>
      <c r="AM795" s="249"/>
    </row>
    <row r="796" spans="1:39" s="231" customFormat="1">
      <c r="A796" s="1"/>
      <c r="B796" s="1"/>
      <c r="C796" s="2"/>
      <c r="D796" s="1"/>
      <c r="E796" s="248"/>
      <c r="F796" s="225"/>
      <c r="G796" s="225"/>
      <c r="H796" s="225"/>
      <c r="I796" s="225"/>
      <c r="J796" s="225"/>
      <c r="K796" s="225"/>
      <c r="L796" s="225"/>
      <c r="M796" s="225"/>
      <c r="N796" s="225"/>
      <c r="O796" s="225"/>
      <c r="P796" s="225"/>
      <c r="Q796" s="225"/>
      <c r="R796" s="225"/>
      <c r="S796" s="225"/>
      <c r="T796" s="225"/>
      <c r="U796" s="225"/>
      <c r="V796" s="225"/>
      <c r="W796" s="225"/>
      <c r="X796" s="225"/>
      <c r="Y796" s="225"/>
      <c r="Z796" s="225"/>
      <c r="AA796" s="225"/>
      <c r="AB796" s="225"/>
      <c r="AC796" s="225"/>
      <c r="AD796" s="225"/>
      <c r="AE796" s="225"/>
      <c r="AF796" s="225"/>
      <c r="AG796" s="225"/>
      <c r="AH796" s="225"/>
      <c r="AI796" s="225"/>
      <c r="AJ796" s="225"/>
      <c r="AK796" s="225"/>
      <c r="AL796" s="225"/>
      <c r="AM796" s="225"/>
    </row>
    <row r="797" spans="1:39" s="231" customFormat="1" ht="12.75" customHeight="1">
      <c r="A797" s="1"/>
      <c r="B797" s="1"/>
      <c r="C797" s="2"/>
      <c r="D797" s="1"/>
      <c r="E797" s="248"/>
      <c r="F797" s="569" t="s">
        <v>1370</v>
      </c>
      <c r="G797" s="569"/>
      <c r="H797" s="569"/>
      <c r="I797" s="569"/>
      <c r="J797" s="569"/>
      <c r="K797" s="569"/>
      <c r="L797" s="569"/>
      <c r="M797" s="569"/>
      <c r="N797" s="569"/>
      <c r="O797" s="569"/>
      <c r="P797" s="569"/>
      <c r="Q797" s="569"/>
      <c r="R797" s="569"/>
      <c r="S797" s="569"/>
      <c r="T797" s="569"/>
      <c r="U797" s="569"/>
      <c r="V797" s="569"/>
      <c r="W797" s="569"/>
      <c r="X797" s="569"/>
      <c r="Y797" s="569"/>
      <c r="Z797" s="569"/>
      <c r="AA797" s="569"/>
      <c r="AB797" s="569"/>
      <c r="AC797" s="569"/>
      <c r="AD797" s="569"/>
      <c r="AE797" s="569"/>
      <c r="AF797" s="569"/>
      <c r="AG797" s="569"/>
      <c r="AH797" s="569"/>
      <c r="AI797" s="569"/>
      <c r="AJ797" s="569"/>
      <c r="AK797" s="569"/>
      <c r="AL797" s="569"/>
      <c r="AM797" s="249"/>
    </row>
    <row r="798" spans="1:39" s="231" customFormat="1">
      <c r="A798" s="1"/>
      <c r="B798" s="1"/>
      <c r="C798" s="2"/>
      <c r="D798" s="1"/>
      <c r="E798" s="248"/>
      <c r="F798" s="569"/>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69"/>
      <c r="AL798" s="569"/>
      <c r="AM798" s="249"/>
    </row>
    <row r="799" spans="1:39" s="231" customFormat="1">
      <c r="A799" s="1"/>
      <c r="B799" s="1"/>
      <c r="C799" s="2"/>
      <c r="D799" s="1"/>
      <c r="E799" s="248"/>
      <c r="F799" s="569"/>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69"/>
      <c r="AL799" s="569"/>
      <c r="AM799" s="249"/>
    </row>
    <row r="800" spans="1:39" s="231" customFormat="1">
      <c r="A800" s="1"/>
      <c r="B800" s="1"/>
      <c r="C800" s="2"/>
      <c r="D800" s="1"/>
      <c r="E800" s="248"/>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69"/>
      <c r="AB800" s="569"/>
      <c r="AC800" s="569"/>
      <c r="AD800" s="569"/>
      <c r="AE800" s="569"/>
      <c r="AF800" s="569"/>
      <c r="AG800" s="569"/>
      <c r="AH800" s="569"/>
      <c r="AI800" s="569"/>
      <c r="AJ800" s="569"/>
      <c r="AK800" s="569"/>
      <c r="AL800" s="569"/>
      <c r="AM800" s="249"/>
    </row>
    <row r="801" spans="1:39" s="231" customFormat="1" ht="44.25" customHeight="1">
      <c r="A801" s="1"/>
      <c r="B801" s="1"/>
      <c r="C801" s="2"/>
      <c r="D801" s="1"/>
      <c r="E801" s="248"/>
      <c r="F801" s="569"/>
      <c r="G801" s="569"/>
      <c r="H801" s="569"/>
      <c r="I801" s="569"/>
      <c r="J801" s="569"/>
      <c r="K801" s="569"/>
      <c r="L801" s="569"/>
      <c r="M801" s="569"/>
      <c r="N801" s="569"/>
      <c r="O801" s="569"/>
      <c r="P801" s="569"/>
      <c r="Q801" s="569"/>
      <c r="R801" s="569"/>
      <c r="S801" s="569"/>
      <c r="T801" s="569"/>
      <c r="U801" s="569"/>
      <c r="V801" s="569"/>
      <c r="W801" s="569"/>
      <c r="X801" s="569"/>
      <c r="Y801" s="569"/>
      <c r="Z801" s="569"/>
      <c r="AA801" s="569"/>
      <c r="AB801" s="569"/>
      <c r="AC801" s="569"/>
      <c r="AD801" s="569"/>
      <c r="AE801" s="569"/>
      <c r="AF801" s="569"/>
      <c r="AG801" s="569"/>
      <c r="AH801" s="569"/>
      <c r="AI801" s="569"/>
      <c r="AJ801" s="569"/>
      <c r="AK801" s="569"/>
      <c r="AL801" s="569"/>
      <c r="AM801" s="249"/>
    </row>
    <row r="802" spans="1:39">
      <c r="E802" s="54"/>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row>
    <row r="803" spans="1:39" s="96" customFormat="1" ht="14.1" customHeight="1">
      <c r="A803" s="1"/>
      <c r="B803" s="1"/>
      <c r="C803" s="2"/>
      <c r="D803" s="1"/>
      <c r="E803" s="94"/>
      <c r="F803" s="569" t="s">
        <v>210</v>
      </c>
      <c r="G803" s="569"/>
      <c r="H803" s="569"/>
      <c r="I803" s="569"/>
      <c r="J803" s="569"/>
      <c r="K803" s="569"/>
      <c r="L803" s="569"/>
      <c r="M803" s="569"/>
      <c r="N803" s="569"/>
      <c r="O803" s="569"/>
      <c r="P803" s="569"/>
      <c r="Q803" s="569"/>
      <c r="R803" s="569"/>
      <c r="S803" s="569"/>
      <c r="T803" s="569"/>
      <c r="U803" s="569"/>
      <c r="V803" s="569"/>
      <c r="W803" s="569"/>
      <c r="X803" s="569"/>
      <c r="Y803" s="569"/>
      <c r="Z803" s="569"/>
      <c r="AA803" s="569"/>
      <c r="AB803" s="569"/>
      <c r="AC803" s="569"/>
      <c r="AD803" s="569"/>
      <c r="AE803" s="569"/>
      <c r="AF803" s="569"/>
      <c r="AG803" s="569"/>
      <c r="AH803" s="569"/>
      <c r="AI803" s="569"/>
      <c r="AJ803" s="569"/>
      <c r="AK803" s="569"/>
      <c r="AL803" s="569"/>
      <c r="AM803" s="249"/>
    </row>
    <row r="804" spans="1:39" s="96" customFormat="1">
      <c r="A804" s="1"/>
      <c r="B804" s="1"/>
      <c r="C804" s="2"/>
      <c r="D804" s="1"/>
      <c r="E804" s="94"/>
      <c r="F804" s="569"/>
      <c r="G804" s="569"/>
      <c r="H804" s="569"/>
      <c r="I804" s="569"/>
      <c r="J804" s="569"/>
      <c r="K804" s="569"/>
      <c r="L804" s="569"/>
      <c r="M804" s="569"/>
      <c r="N804" s="569"/>
      <c r="O804" s="569"/>
      <c r="P804" s="569"/>
      <c r="Q804" s="569"/>
      <c r="R804" s="569"/>
      <c r="S804" s="569"/>
      <c r="T804" s="569"/>
      <c r="U804" s="569"/>
      <c r="V804" s="569"/>
      <c r="W804" s="569"/>
      <c r="X804" s="569"/>
      <c r="Y804" s="569"/>
      <c r="Z804" s="569"/>
      <c r="AA804" s="569"/>
      <c r="AB804" s="569"/>
      <c r="AC804" s="569"/>
      <c r="AD804" s="569"/>
      <c r="AE804" s="569"/>
      <c r="AF804" s="569"/>
      <c r="AG804" s="569"/>
      <c r="AH804" s="569"/>
      <c r="AI804" s="569"/>
      <c r="AJ804" s="569"/>
      <c r="AK804" s="569"/>
      <c r="AL804" s="569"/>
      <c r="AM804" s="249"/>
    </row>
    <row r="805" spans="1:39" s="96" customFormat="1">
      <c r="A805" s="1"/>
      <c r="B805" s="1"/>
      <c r="C805" s="2"/>
      <c r="D805" s="1"/>
      <c r="E805" s="94"/>
      <c r="F805" s="569"/>
      <c r="G805" s="569"/>
      <c r="H805" s="569"/>
      <c r="I805" s="569"/>
      <c r="J805" s="569"/>
      <c r="K805" s="569"/>
      <c r="L805" s="569"/>
      <c r="M805" s="569"/>
      <c r="N805" s="569"/>
      <c r="O805" s="569"/>
      <c r="P805" s="569"/>
      <c r="Q805" s="569"/>
      <c r="R805" s="569"/>
      <c r="S805" s="569"/>
      <c r="T805" s="569"/>
      <c r="U805" s="569"/>
      <c r="V805" s="569"/>
      <c r="W805" s="569"/>
      <c r="X805" s="569"/>
      <c r="Y805" s="569"/>
      <c r="Z805" s="569"/>
      <c r="AA805" s="569"/>
      <c r="AB805" s="569"/>
      <c r="AC805" s="569"/>
      <c r="AD805" s="569"/>
      <c r="AE805" s="569"/>
      <c r="AF805" s="569"/>
      <c r="AG805" s="569"/>
      <c r="AH805" s="569"/>
      <c r="AI805" s="569"/>
      <c r="AJ805" s="569"/>
      <c r="AK805" s="569"/>
      <c r="AL805" s="569"/>
      <c r="AM805" s="249"/>
    </row>
    <row r="806" spans="1:39" s="96" customFormat="1">
      <c r="A806" s="1"/>
      <c r="B806" s="1"/>
      <c r="C806" s="2"/>
      <c r="D806" s="1"/>
      <c r="E806" s="94"/>
      <c r="F806" s="569"/>
      <c r="G806" s="569"/>
      <c r="H806" s="569"/>
      <c r="I806" s="569"/>
      <c r="J806" s="569"/>
      <c r="K806" s="569"/>
      <c r="L806" s="569"/>
      <c r="M806" s="569"/>
      <c r="N806" s="569"/>
      <c r="O806" s="569"/>
      <c r="P806" s="569"/>
      <c r="Q806" s="569"/>
      <c r="R806" s="569"/>
      <c r="S806" s="569"/>
      <c r="T806" s="569"/>
      <c r="U806" s="569"/>
      <c r="V806" s="569"/>
      <c r="W806" s="569"/>
      <c r="X806" s="569"/>
      <c r="Y806" s="569"/>
      <c r="Z806" s="569"/>
      <c r="AA806" s="569"/>
      <c r="AB806" s="569"/>
      <c r="AC806" s="569"/>
      <c r="AD806" s="569"/>
      <c r="AE806" s="569"/>
      <c r="AF806" s="569"/>
      <c r="AG806" s="569"/>
      <c r="AH806" s="569"/>
      <c r="AI806" s="569"/>
      <c r="AJ806" s="569"/>
      <c r="AK806" s="569"/>
      <c r="AL806" s="569"/>
      <c r="AM806" s="249"/>
    </row>
    <row r="807" spans="1:39" s="96" customFormat="1" ht="24.75" customHeight="1">
      <c r="A807" s="1"/>
      <c r="B807" s="1"/>
      <c r="C807" s="2"/>
      <c r="D807" s="1"/>
      <c r="E807" s="94"/>
      <c r="F807" s="569"/>
      <c r="G807" s="569"/>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69"/>
      <c r="AL807" s="569"/>
      <c r="AM807" s="249"/>
    </row>
    <row r="808" spans="1:39" s="96" customFormat="1" ht="8.25" customHeight="1">
      <c r="A808" s="1"/>
      <c r="B808" s="1"/>
      <c r="C808" s="2"/>
      <c r="D808" s="1"/>
      <c r="E808" s="9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c r="AG808" s="54"/>
      <c r="AH808" s="54"/>
      <c r="AI808" s="54"/>
      <c r="AJ808" s="54"/>
      <c r="AK808" s="54"/>
      <c r="AL808" s="54"/>
      <c r="AM808" s="54"/>
    </row>
    <row r="809" spans="1:39" s="96" customFormat="1" ht="14.1" customHeight="1">
      <c r="A809" s="1"/>
      <c r="B809" s="1"/>
      <c r="C809" s="2"/>
      <c r="D809" s="1"/>
      <c r="E809" s="94"/>
      <c r="F809" s="569" t="s">
        <v>1426</v>
      </c>
      <c r="G809" s="569"/>
      <c r="H809" s="569"/>
      <c r="I809" s="569"/>
      <c r="J809" s="569"/>
      <c r="K809" s="569"/>
      <c r="L809" s="569"/>
      <c r="M809" s="569"/>
      <c r="N809" s="569"/>
      <c r="O809" s="569"/>
      <c r="P809" s="569"/>
      <c r="Q809" s="569"/>
      <c r="R809" s="569"/>
      <c r="S809" s="569"/>
      <c r="T809" s="569"/>
      <c r="U809" s="569"/>
      <c r="V809" s="569"/>
      <c r="W809" s="569"/>
      <c r="X809" s="569"/>
      <c r="Y809" s="569"/>
      <c r="Z809" s="569"/>
      <c r="AA809" s="569"/>
      <c r="AB809" s="569"/>
      <c r="AC809" s="569"/>
      <c r="AD809" s="569"/>
      <c r="AE809" s="569"/>
      <c r="AF809" s="569"/>
      <c r="AG809" s="569"/>
      <c r="AH809" s="569"/>
      <c r="AI809" s="569"/>
      <c r="AJ809" s="569"/>
      <c r="AK809" s="569"/>
      <c r="AL809" s="569"/>
      <c r="AM809" s="249"/>
    </row>
    <row r="810" spans="1:39" s="96" customFormat="1" ht="16.5" customHeight="1">
      <c r="A810" s="1"/>
      <c r="B810" s="1"/>
      <c r="C810" s="2"/>
      <c r="D810" s="1"/>
      <c r="E810" s="94"/>
      <c r="F810" s="569"/>
      <c r="G810" s="569"/>
      <c r="H810" s="569"/>
      <c r="I810" s="569"/>
      <c r="J810" s="569"/>
      <c r="K810" s="569"/>
      <c r="L810" s="569"/>
      <c r="M810" s="569"/>
      <c r="N810" s="569"/>
      <c r="O810" s="569"/>
      <c r="P810" s="569"/>
      <c r="Q810" s="569"/>
      <c r="R810" s="569"/>
      <c r="S810" s="569"/>
      <c r="T810" s="569"/>
      <c r="U810" s="569"/>
      <c r="V810" s="569"/>
      <c r="W810" s="569"/>
      <c r="X810" s="569"/>
      <c r="Y810" s="569"/>
      <c r="Z810" s="569"/>
      <c r="AA810" s="569"/>
      <c r="AB810" s="569"/>
      <c r="AC810" s="569"/>
      <c r="AD810" s="569"/>
      <c r="AE810" s="569"/>
      <c r="AF810" s="569"/>
      <c r="AG810" s="569"/>
      <c r="AH810" s="569"/>
      <c r="AI810" s="569"/>
      <c r="AJ810" s="569"/>
      <c r="AK810" s="569"/>
      <c r="AL810" s="569"/>
      <c r="AM810" s="249"/>
    </row>
    <row r="811" spans="1:39" s="96" customFormat="1" ht="8.25" customHeight="1">
      <c r="A811" s="1"/>
      <c r="B811" s="1"/>
      <c r="C811" s="2"/>
      <c r="D811" s="1"/>
      <c r="E811" s="94"/>
      <c r="F811" s="95"/>
      <c r="G811" s="95"/>
      <c r="H811" s="95"/>
      <c r="I811" s="95"/>
      <c r="J811" s="95"/>
      <c r="K811" s="95"/>
      <c r="L811" s="95"/>
      <c r="M811" s="95"/>
      <c r="N811" s="95"/>
      <c r="O811" s="95"/>
      <c r="P811" s="95"/>
      <c r="Q811" s="95"/>
      <c r="R811" s="95"/>
      <c r="S811" s="95"/>
      <c r="T811" s="95"/>
      <c r="U811" s="95"/>
      <c r="V811" s="95"/>
      <c r="W811" s="95"/>
      <c r="X811" s="95"/>
      <c r="Y811" s="95"/>
      <c r="Z811" s="95"/>
      <c r="AA811" s="95"/>
      <c r="AB811" s="95"/>
      <c r="AC811" s="95"/>
      <c r="AD811" s="95"/>
      <c r="AE811" s="95"/>
      <c r="AF811" s="95"/>
      <c r="AG811" s="95"/>
      <c r="AH811" s="95"/>
      <c r="AI811" s="95"/>
      <c r="AJ811" s="95"/>
      <c r="AK811" s="95"/>
      <c r="AL811" s="95"/>
      <c r="AM811" s="95"/>
    </row>
    <row r="812" spans="1:39" s="96" customFormat="1" ht="14.1" customHeight="1">
      <c r="A812" s="1"/>
      <c r="B812" s="1"/>
      <c r="C812" s="2"/>
      <c r="D812" s="1"/>
      <c r="E812" s="94"/>
      <c r="F812" s="55" t="s">
        <v>1427</v>
      </c>
      <c r="G812" s="661" t="s">
        <v>1428</v>
      </c>
      <c r="H812" s="661"/>
      <c r="I812" s="661"/>
      <c r="J812" s="661"/>
      <c r="K812" s="661"/>
      <c r="L812" s="661"/>
      <c r="M812" s="661"/>
      <c r="N812" s="661"/>
      <c r="O812" s="661"/>
      <c r="P812" s="661"/>
      <c r="Q812" s="661"/>
      <c r="R812" s="661"/>
      <c r="S812" s="661"/>
      <c r="T812" s="661"/>
      <c r="U812" s="661"/>
      <c r="V812" s="661"/>
      <c r="W812" s="661"/>
      <c r="X812" s="661"/>
      <c r="Y812" s="661"/>
      <c r="Z812" s="661"/>
      <c r="AA812" s="55"/>
      <c r="AB812" s="55"/>
      <c r="AC812" s="55"/>
      <c r="AD812" s="55"/>
      <c r="AE812" s="55"/>
      <c r="AF812" s="55"/>
      <c r="AG812" s="55"/>
      <c r="AH812" s="55"/>
      <c r="AI812" s="55"/>
      <c r="AJ812" s="55"/>
      <c r="AK812" s="55"/>
      <c r="AL812" s="55"/>
      <c r="AM812" s="55"/>
    </row>
    <row r="813" spans="1:39" s="96" customFormat="1" ht="14.1" customHeight="1">
      <c r="A813" s="1"/>
      <c r="B813" s="1"/>
      <c r="C813" s="2"/>
      <c r="D813" s="1"/>
      <c r="E813" s="94"/>
      <c r="F813" s="754" t="s">
        <v>1664</v>
      </c>
      <c r="G813" s="754"/>
      <c r="H813" s="754"/>
      <c r="I813" s="754"/>
      <c r="J813" s="754"/>
      <c r="K813" s="754"/>
      <c r="L813" s="754"/>
      <c r="M813" s="754"/>
      <c r="N813" s="754"/>
      <c r="O813" s="754"/>
      <c r="P813" s="754"/>
      <c r="Q813" s="754"/>
      <c r="R813" s="754"/>
      <c r="S813" s="754"/>
      <c r="T813" s="754"/>
      <c r="U813" s="754"/>
      <c r="V813" s="754"/>
      <c r="W813" s="754"/>
      <c r="X813" s="754"/>
      <c r="Y813" s="754"/>
      <c r="Z813" s="754"/>
      <c r="AA813" s="754"/>
      <c r="AB813" s="754"/>
      <c r="AC813" s="754"/>
      <c r="AD813" s="754"/>
      <c r="AE813" s="754"/>
      <c r="AF813" s="754"/>
      <c r="AG813" s="754"/>
      <c r="AH813" s="754"/>
      <c r="AI813" s="754"/>
      <c r="AJ813" s="754"/>
      <c r="AK813" s="754"/>
      <c r="AL813" s="754"/>
      <c r="AM813" s="249"/>
    </row>
    <row r="814" spans="1:39" s="96" customFormat="1">
      <c r="A814" s="1"/>
      <c r="B814" s="1"/>
      <c r="C814" s="2"/>
      <c r="D814" s="1"/>
      <c r="E814" s="94"/>
      <c r="F814" s="754"/>
      <c r="G814" s="754"/>
      <c r="H814" s="754"/>
      <c r="I814" s="754"/>
      <c r="J814" s="754"/>
      <c r="K814" s="754"/>
      <c r="L814" s="754"/>
      <c r="M814" s="754"/>
      <c r="N814" s="754"/>
      <c r="O814" s="754"/>
      <c r="P814" s="754"/>
      <c r="Q814" s="754"/>
      <c r="R814" s="754"/>
      <c r="S814" s="754"/>
      <c r="T814" s="754"/>
      <c r="U814" s="754"/>
      <c r="V814" s="754"/>
      <c r="W814" s="754"/>
      <c r="X814" s="754"/>
      <c r="Y814" s="754"/>
      <c r="Z814" s="754"/>
      <c r="AA814" s="754"/>
      <c r="AB814" s="754"/>
      <c r="AC814" s="754"/>
      <c r="AD814" s="754"/>
      <c r="AE814" s="754"/>
      <c r="AF814" s="754"/>
      <c r="AG814" s="754"/>
      <c r="AH814" s="754"/>
      <c r="AI814" s="754"/>
      <c r="AJ814" s="754"/>
      <c r="AK814" s="754"/>
      <c r="AL814" s="754"/>
      <c r="AM814" s="249"/>
    </row>
    <row r="815" spans="1:39">
      <c r="E815" s="54"/>
      <c r="F815" s="754"/>
      <c r="G815" s="754"/>
      <c r="H815" s="754"/>
      <c r="I815" s="754"/>
      <c r="J815" s="754"/>
      <c r="K815" s="754"/>
      <c r="L815" s="754"/>
      <c r="M815" s="754"/>
      <c r="N815" s="754"/>
      <c r="O815" s="754"/>
      <c r="P815" s="754"/>
      <c r="Q815" s="754"/>
      <c r="R815" s="754"/>
      <c r="S815" s="754"/>
      <c r="T815" s="754"/>
      <c r="U815" s="754"/>
      <c r="V815" s="754"/>
      <c r="W815" s="754"/>
      <c r="X815" s="754"/>
      <c r="Y815" s="754"/>
      <c r="Z815" s="754"/>
      <c r="AA815" s="754"/>
      <c r="AB815" s="754"/>
      <c r="AC815" s="754"/>
      <c r="AD815" s="754"/>
      <c r="AE815" s="754"/>
      <c r="AF815" s="754"/>
      <c r="AG815" s="754"/>
      <c r="AH815" s="754"/>
      <c r="AI815" s="754"/>
      <c r="AJ815" s="754"/>
      <c r="AK815" s="754"/>
      <c r="AL815" s="754"/>
      <c r="AM815" s="249"/>
    </row>
    <row r="816" spans="1:39">
      <c r="E816" s="54"/>
      <c r="F816" s="754"/>
      <c r="G816" s="754"/>
      <c r="H816" s="754"/>
      <c r="I816" s="754"/>
      <c r="J816" s="754"/>
      <c r="K816" s="754"/>
      <c r="L816" s="754"/>
      <c r="M816" s="754"/>
      <c r="N816" s="754"/>
      <c r="O816" s="754"/>
      <c r="P816" s="754"/>
      <c r="Q816" s="754"/>
      <c r="R816" s="754"/>
      <c r="S816" s="754"/>
      <c r="T816" s="754"/>
      <c r="U816" s="754"/>
      <c r="V816" s="754"/>
      <c r="W816" s="754"/>
      <c r="X816" s="754"/>
      <c r="Y816" s="754"/>
      <c r="Z816" s="754"/>
      <c r="AA816" s="754"/>
      <c r="AB816" s="754"/>
      <c r="AC816" s="754"/>
      <c r="AD816" s="754"/>
      <c r="AE816" s="754"/>
      <c r="AF816" s="754"/>
      <c r="AG816" s="754"/>
      <c r="AH816" s="754"/>
      <c r="AI816" s="754"/>
      <c r="AJ816" s="754"/>
      <c r="AK816" s="754"/>
      <c r="AL816" s="754"/>
      <c r="AM816" s="249"/>
    </row>
    <row r="817" spans="1:39" ht="14.1" customHeight="1">
      <c r="E817" s="54"/>
      <c r="F817" s="754" t="s">
        <v>211</v>
      </c>
      <c r="G817" s="754"/>
      <c r="H817" s="754"/>
      <c r="I817" s="754"/>
      <c r="J817" s="754"/>
      <c r="K817" s="754"/>
      <c r="L817" s="754"/>
      <c r="M817" s="754"/>
      <c r="N817" s="754"/>
      <c r="O817" s="754"/>
      <c r="P817" s="754"/>
      <c r="Q817" s="754"/>
      <c r="R817" s="754"/>
      <c r="S817" s="754"/>
      <c r="T817" s="754"/>
      <c r="U817" s="754"/>
      <c r="V817" s="754"/>
      <c r="W817" s="754"/>
      <c r="X817" s="754"/>
      <c r="Y817" s="754"/>
      <c r="Z817" s="754"/>
      <c r="AA817" s="754"/>
      <c r="AB817" s="754"/>
      <c r="AC817" s="754"/>
      <c r="AD817" s="754"/>
      <c r="AE817" s="754"/>
      <c r="AF817" s="754"/>
      <c r="AG817" s="754"/>
      <c r="AH817" s="754"/>
      <c r="AI817" s="754"/>
      <c r="AJ817" s="754"/>
      <c r="AK817" s="754"/>
      <c r="AL817" s="754"/>
      <c r="AM817" s="249"/>
    </row>
    <row r="818" spans="1:39">
      <c r="E818" s="54"/>
      <c r="F818" s="754"/>
      <c r="G818" s="754"/>
      <c r="H818" s="754"/>
      <c r="I818" s="754"/>
      <c r="J818" s="754"/>
      <c r="K818" s="754"/>
      <c r="L818" s="754"/>
      <c r="M818" s="754"/>
      <c r="N818" s="754"/>
      <c r="O818" s="754"/>
      <c r="P818" s="754"/>
      <c r="Q818" s="754"/>
      <c r="R818" s="754"/>
      <c r="S818" s="754"/>
      <c r="T818" s="754"/>
      <c r="U818" s="754"/>
      <c r="V818" s="754"/>
      <c r="W818" s="754"/>
      <c r="X818" s="754"/>
      <c r="Y818" s="754"/>
      <c r="Z818" s="754"/>
      <c r="AA818" s="754"/>
      <c r="AB818" s="754"/>
      <c r="AC818" s="754"/>
      <c r="AD818" s="754"/>
      <c r="AE818" s="754"/>
      <c r="AF818" s="754"/>
      <c r="AG818" s="754"/>
      <c r="AH818" s="754"/>
      <c r="AI818" s="754"/>
      <c r="AJ818" s="754"/>
      <c r="AK818" s="754"/>
      <c r="AL818" s="754"/>
      <c r="AM818" s="249"/>
    </row>
    <row r="819" spans="1:39">
      <c r="E819" s="54"/>
      <c r="F819" s="754"/>
      <c r="G819" s="754"/>
      <c r="H819" s="754"/>
      <c r="I819" s="754"/>
      <c r="J819" s="754"/>
      <c r="K819" s="754"/>
      <c r="L819" s="754"/>
      <c r="M819" s="754"/>
      <c r="N819" s="754"/>
      <c r="O819" s="754"/>
      <c r="P819" s="754"/>
      <c r="Q819" s="754"/>
      <c r="R819" s="754"/>
      <c r="S819" s="754"/>
      <c r="T819" s="754"/>
      <c r="U819" s="754"/>
      <c r="V819" s="754"/>
      <c r="W819" s="754"/>
      <c r="X819" s="754"/>
      <c r="Y819" s="754"/>
      <c r="Z819" s="754"/>
      <c r="AA819" s="754"/>
      <c r="AB819" s="754"/>
      <c r="AC819" s="754"/>
      <c r="AD819" s="754"/>
      <c r="AE819" s="754"/>
      <c r="AF819" s="754"/>
      <c r="AG819" s="754"/>
      <c r="AH819" s="754"/>
      <c r="AI819" s="754"/>
      <c r="AJ819" s="754"/>
      <c r="AK819" s="754"/>
      <c r="AL819" s="754"/>
      <c r="AM819" s="249"/>
    </row>
    <row r="820" spans="1:39" ht="26.25" customHeight="1">
      <c r="E820" s="54"/>
      <c r="F820" s="754"/>
      <c r="G820" s="754"/>
      <c r="H820" s="754"/>
      <c r="I820" s="754"/>
      <c r="J820" s="754"/>
      <c r="K820" s="754"/>
      <c r="L820" s="754"/>
      <c r="M820" s="754"/>
      <c r="N820" s="754"/>
      <c r="O820" s="754"/>
      <c r="P820" s="754"/>
      <c r="Q820" s="754"/>
      <c r="R820" s="754"/>
      <c r="S820" s="754"/>
      <c r="T820" s="754"/>
      <c r="U820" s="754"/>
      <c r="V820" s="754"/>
      <c r="W820" s="754"/>
      <c r="X820" s="754"/>
      <c r="Y820" s="754"/>
      <c r="Z820" s="754"/>
      <c r="AA820" s="754"/>
      <c r="AB820" s="754"/>
      <c r="AC820" s="754"/>
      <c r="AD820" s="754"/>
      <c r="AE820" s="754"/>
      <c r="AF820" s="754"/>
      <c r="AG820" s="754"/>
      <c r="AH820" s="754"/>
      <c r="AI820" s="754"/>
      <c r="AJ820" s="754"/>
      <c r="AK820" s="754"/>
      <c r="AL820" s="754"/>
      <c r="AM820" s="249"/>
    </row>
    <row r="821" spans="1:39">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358" t="s">
        <v>24</v>
      </c>
      <c r="AK821" s="612">
        <f>AK773+1</f>
        <v>13</v>
      </c>
      <c r="AL821" s="612"/>
      <c r="AM821" s="358" t="s">
        <v>24</v>
      </c>
    </row>
    <row r="823" spans="1:39" s="361" customFormat="1">
      <c r="A823" s="1"/>
      <c r="B823" s="1"/>
      <c r="C823" s="2"/>
      <c r="D823" s="1"/>
    </row>
    <row r="824" spans="1:39" s="361" customFormat="1">
      <c r="A824" s="1"/>
      <c r="B824" s="1"/>
      <c r="C824" s="2"/>
      <c r="D824" s="1"/>
      <c r="E824" s="366"/>
      <c r="F824" s="366"/>
      <c r="G824" s="366"/>
      <c r="H824" s="366"/>
      <c r="I824" s="366"/>
      <c r="J824" s="366"/>
      <c r="K824" s="366"/>
      <c r="L824" s="366"/>
      <c r="M824" s="366"/>
      <c r="N824" s="366"/>
      <c r="O824" s="366"/>
      <c r="P824" s="366"/>
      <c r="Q824" s="366"/>
      <c r="R824" s="366"/>
      <c r="S824" s="366"/>
      <c r="T824" s="366"/>
      <c r="U824" s="366"/>
      <c r="V824" s="366"/>
      <c r="W824" s="366"/>
      <c r="X824" s="366"/>
      <c r="Y824" s="366"/>
      <c r="Z824" s="366"/>
      <c r="AA824" s="366"/>
      <c r="AB824" s="366"/>
      <c r="AC824" s="366"/>
      <c r="AD824" s="366"/>
      <c r="AE824" s="366"/>
      <c r="AF824" s="366"/>
      <c r="AG824" s="366"/>
      <c r="AH824" s="366"/>
      <c r="AI824" s="366"/>
      <c r="AJ824" s="362"/>
      <c r="AK824" s="362"/>
      <c r="AL824" s="362"/>
      <c r="AM824" s="362"/>
    </row>
    <row r="825" spans="1:39" s="361" customFormat="1">
      <c r="A825" s="1"/>
      <c r="B825" s="1"/>
      <c r="C825" s="2"/>
      <c r="D825" s="1"/>
      <c r="E825" s="376" t="str">
        <f>UPPER($Y$28)</f>
        <v>ПТ ЛОМБАРД "МЕРКУРІЙ"</v>
      </c>
      <c r="F825" s="376"/>
      <c r="G825" s="376"/>
      <c r="H825" s="376"/>
      <c r="I825" s="376"/>
      <c r="J825" s="376"/>
      <c r="K825" s="376"/>
      <c r="L825" s="376"/>
      <c r="M825" s="376"/>
      <c r="N825" s="376"/>
      <c r="O825" s="376"/>
      <c r="P825" s="376"/>
      <c r="Q825" s="376"/>
      <c r="R825" s="376"/>
      <c r="S825" s="376"/>
      <c r="T825" s="376"/>
      <c r="U825" s="376"/>
      <c r="V825" s="376"/>
      <c r="W825" s="376"/>
      <c r="X825" s="376"/>
      <c r="Y825" s="376"/>
      <c r="Z825" s="376"/>
      <c r="AA825" s="376"/>
      <c r="AB825" s="376"/>
      <c r="AC825" s="376"/>
      <c r="AD825" s="376"/>
      <c r="AE825" s="376"/>
      <c r="AF825" s="376"/>
      <c r="AG825" s="376"/>
      <c r="AH825" s="376"/>
      <c r="AI825" s="376"/>
      <c r="AJ825" s="376"/>
      <c r="AK825" s="376"/>
      <c r="AL825" s="376"/>
      <c r="AM825" s="376"/>
    </row>
    <row r="826" spans="1:39" s="361" customFormat="1">
      <c r="A826" s="1"/>
      <c r="B826" s="1"/>
      <c r="C826" s="2"/>
      <c r="D826" s="1"/>
      <c r="E826" s="265" t="s">
        <v>143</v>
      </c>
      <c r="F826" s="265"/>
      <c r="G826" s="265"/>
      <c r="H826" s="265"/>
      <c r="I826" s="265"/>
      <c r="J826" s="265"/>
      <c r="K826" s="265"/>
      <c r="L826" s="265"/>
      <c r="M826" s="265"/>
      <c r="N826" s="265"/>
      <c r="O826" s="265"/>
      <c r="P826" s="265"/>
      <c r="Q826" s="265"/>
      <c r="R826" s="265"/>
      <c r="S826" s="265"/>
      <c r="T826" s="265"/>
      <c r="U826" s="265"/>
      <c r="V826" s="265"/>
      <c r="W826" s="265"/>
      <c r="X826" s="265"/>
      <c r="Y826" s="265"/>
      <c r="Z826" s="265"/>
      <c r="AA826" s="265"/>
      <c r="AB826" s="265"/>
      <c r="AC826" s="265"/>
      <c r="AD826" s="265"/>
      <c r="AE826" s="265"/>
      <c r="AF826" s="265"/>
      <c r="AG826" s="265"/>
      <c r="AH826" s="265"/>
      <c r="AI826" s="265"/>
      <c r="AJ826" s="265"/>
      <c r="AK826" s="265"/>
      <c r="AL826" s="265"/>
      <c r="AM826" s="265"/>
    </row>
    <row r="827" spans="1:39" s="361" customFormat="1">
      <c r="A827" s="1"/>
      <c r="B827" s="1"/>
      <c r="C827" s="2"/>
      <c r="D827" s="1"/>
      <c r="E827" s="265" t="str">
        <f>$E$274</f>
        <v>ЗА РІК, ЩО ЗАКІНЧИВСЯ 31 ГРУДНЯ 2020 РОКУ</v>
      </c>
      <c r="F827" s="265"/>
      <c r="G827" s="265"/>
      <c r="H827" s="265"/>
      <c r="I827" s="265"/>
      <c r="J827" s="265"/>
      <c r="K827" s="265"/>
      <c r="L827" s="265"/>
      <c r="M827" s="265"/>
      <c r="N827" s="265"/>
      <c r="O827" s="265"/>
      <c r="P827" s="265"/>
      <c r="Q827" s="265"/>
      <c r="R827" s="265"/>
      <c r="S827" s="265"/>
      <c r="T827" s="265"/>
      <c r="U827" s="265"/>
      <c r="V827" s="265"/>
      <c r="W827" s="265"/>
      <c r="X827" s="265"/>
      <c r="Y827" s="265"/>
      <c r="Z827" s="265"/>
      <c r="AA827" s="265"/>
      <c r="AB827" s="265"/>
      <c r="AC827" s="265"/>
      <c r="AD827" s="265"/>
      <c r="AE827" s="265"/>
      <c r="AF827" s="265"/>
      <c r="AG827" s="265"/>
      <c r="AH827" s="265"/>
      <c r="AI827" s="265"/>
      <c r="AJ827" s="265"/>
      <c r="AK827" s="265"/>
      <c r="AL827" s="265"/>
      <c r="AM827" s="265"/>
    </row>
    <row r="828" spans="1:39" s="361" customFormat="1">
      <c r="A828" s="1"/>
      <c r="B828" s="1"/>
      <c r="C828" s="2"/>
      <c r="D828" s="1"/>
      <c r="E828" s="244" t="str">
        <f>$E$209</f>
        <v>(в тисячах гривень, якщо не вказано інше)</v>
      </c>
      <c r="F828" s="244"/>
      <c r="G828" s="244"/>
      <c r="H828" s="244"/>
      <c r="I828" s="244"/>
      <c r="J828" s="244"/>
      <c r="K828" s="244"/>
      <c r="L828" s="244"/>
      <c r="M828" s="244"/>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244"/>
      <c r="AL828" s="244"/>
      <c r="AM828" s="244"/>
    </row>
    <row r="829" spans="1:39" s="361" customFormat="1">
      <c r="A829" s="1"/>
      <c r="B829" s="1"/>
      <c r="C829" s="2"/>
      <c r="D829" s="1"/>
    </row>
    <row r="830" spans="1:39" ht="14.1" customHeight="1">
      <c r="F830" s="33" t="s">
        <v>1429</v>
      </c>
      <c r="G830" s="613" t="s">
        <v>1430</v>
      </c>
      <c r="H830" s="613"/>
      <c r="I830" s="613"/>
      <c r="J830" s="613"/>
      <c r="K830" s="613"/>
      <c r="L830" s="613"/>
      <c r="M830" s="613"/>
      <c r="N830" s="613"/>
      <c r="O830" s="613"/>
      <c r="P830" s="613"/>
      <c r="Q830" s="613"/>
      <c r="R830" s="613"/>
      <c r="S830" s="613"/>
      <c r="T830" s="613"/>
      <c r="U830" s="613"/>
      <c r="V830" s="613"/>
      <c r="W830" s="613"/>
      <c r="X830" s="613"/>
      <c r="Y830" s="613"/>
      <c r="Z830" s="613"/>
      <c r="AA830" s="613"/>
      <c r="AB830" s="613"/>
      <c r="AC830" s="613"/>
      <c r="AD830" s="613"/>
      <c r="AE830" s="613"/>
      <c r="AF830" s="613"/>
      <c r="AG830" s="613"/>
      <c r="AH830" s="613"/>
      <c r="AI830" s="33"/>
      <c r="AJ830" s="33"/>
      <c r="AK830" s="33"/>
      <c r="AL830" s="33"/>
      <c r="AM830" s="33"/>
    </row>
    <row r="831" spans="1:39" ht="14.1" customHeight="1">
      <c r="F831" s="569" t="s">
        <v>212</v>
      </c>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69"/>
      <c r="AL831" s="569"/>
      <c r="AM831" s="249"/>
    </row>
    <row r="832" spans="1:3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69"/>
      <c r="AL832" s="569"/>
      <c r="AM832" s="249"/>
    </row>
    <row r="833" spans="1:39" ht="22.5" customHeight="1">
      <c r="F833" s="56" t="s">
        <v>24</v>
      </c>
      <c r="G833" s="569" t="s">
        <v>213</v>
      </c>
      <c r="H833" s="569"/>
      <c r="I833" s="569"/>
      <c r="J833" s="569"/>
      <c r="K833" s="569"/>
      <c r="L833" s="569"/>
      <c r="M833" s="569"/>
      <c r="N833" s="569"/>
      <c r="O833" s="569"/>
      <c r="P833" s="569"/>
      <c r="Q833" s="569"/>
      <c r="R833" s="569"/>
      <c r="S833" s="569"/>
      <c r="T833" s="569"/>
      <c r="U833" s="569"/>
      <c r="V833" s="569"/>
      <c r="W833" s="569"/>
      <c r="X833" s="569"/>
      <c r="Y833" s="569"/>
      <c r="Z833" s="569"/>
      <c r="AA833" s="569"/>
      <c r="AB833" s="569"/>
      <c r="AC833" s="569"/>
      <c r="AD833" s="569"/>
      <c r="AE833" s="569"/>
      <c r="AF833" s="569"/>
      <c r="AG833" s="569"/>
      <c r="AH833" s="569"/>
      <c r="AI833" s="569"/>
      <c r="AJ833" s="569"/>
      <c r="AK833" s="569"/>
      <c r="AL833" s="569"/>
      <c r="AM833" s="249"/>
    </row>
    <row r="834" spans="1:39" ht="15" customHeight="1">
      <c r="F834" s="56" t="s">
        <v>24</v>
      </c>
      <c r="G834" s="569" t="s">
        <v>214</v>
      </c>
      <c r="H834" s="569"/>
      <c r="I834" s="569"/>
      <c r="J834" s="569"/>
      <c r="K834" s="569"/>
      <c r="L834" s="569"/>
      <c r="M834" s="569"/>
      <c r="N834" s="569"/>
      <c r="O834" s="569"/>
      <c r="P834" s="569"/>
      <c r="Q834" s="569"/>
      <c r="R834" s="569"/>
      <c r="S834" s="569"/>
      <c r="T834" s="569"/>
      <c r="U834" s="569"/>
      <c r="V834" s="569"/>
      <c r="W834" s="569"/>
      <c r="X834" s="569"/>
      <c r="Y834" s="569"/>
      <c r="Z834" s="569"/>
      <c r="AA834" s="569"/>
      <c r="AB834" s="569"/>
      <c r="AC834" s="569"/>
      <c r="AD834" s="569"/>
      <c r="AE834" s="569"/>
      <c r="AF834" s="569"/>
      <c r="AG834" s="569"/>
      <c r="AH834" s="569"/>
      <c r="AI834" s="569"/>
      <c r="AJ834" s="569"/>
      <c r="AK834" s="569"/>
      <c r="AL834" s="569"/>
      <c r="AM834" s="249"/>
    </row>
    <row r="835" spans="1:39">
      <c r="F835" s="54"/>
      <c r="G835" s="569"/>
      <c r="H835" s="569"/>
      <c r="I835" s="569"/>
      <c r="J835" s="569"/>
      <c r="K835" s="569"/>
      <c r="L835" s="569"/>
      <c r="M835" s="569"/>
      <c r="N835" s="569"/>
      <c r="O835" s="569"/>
      <c r="P835" s="569"/>
      <c r="Q835" s="569"/>
      <c r="R835" s="569"/>
      <c r="S835" s="569"/>
      <c r="T835" s="569"/>
      <c r="U835" s="569"/>
      <c r="V835" s="569"/>
      <c r="W835" s="569"/>
      <c r="X835" s="569"/>
      <c r="Y835" s="569"/>
      <c r="Z835" s="569"/>
      <c r="AA835" s="569"/>
      <c r="AB835" s="569"/>
      <c r="AC835" s="569"/>
      <c r="AD835" s="569"/>
      <c r="AE835" s="569"/>
      <c r="AF835" s="569"/>
      <c r="AG835" s="569"/>
      <c r="AH835" s="569"/>
      <c r="AI835" s="569"/>
      <c r="AJ835" s="569"/>
      <c r="AK835" s="569"/>
      <c r="AL835" s="569"/>
      <c r="AM835" s="249"/>
    </row>
    <row r="836" spans="1:39">
      <c r="F836" s="54"/>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69"/>
      <c r="AL836" s="569"/>
      <c r="AM836" s="249"/>
    </row>
    <row r="837" spans="1:39" ht="39" customHeight="1">
      <c r="F837" s="54"/>
      <c r="G837" s="569"/>
      <c r="H837" s="569"/>
      <c r="I837" s="569"/>
      <c r="J837" s="569"/>
      <c r="K837" s="569"/>
      <c r="L837" s="569"/>
      <c r="M837" s="569"/>
      <c r="N837" s="569"/>
      <c r="O837" s="569"/>
      <c r="P837" s="569"/>
      <c r="Q837" s="569"/>
      <c r="R837" s="569"/>
      <c r="S837" s="569"/>
      <c r="T837" s="569"/>
      <c r="U837" s="569"/>
      <c r="V837" s="569"/>
      <c r="W837" s="569"/>
      <c r="X837" s="569"/>
      <c r="Y837" s="569"/>
      <c r="Z837" s="569"/>
      <c r="AA837" s="569"/>
      <c r="AB837" s="569"/>
      <c r="AC837" s="569"/>
      <c r="AD837" s="569"/>
      <c r="AE837" s="569"/>
      <c r="AF837" s="569"/>
      <c r="AG837" s="569"/>
      <c r="AH837" s="569"/>
      <c r="AI837" s="569"/>
      <c r="AJ837" s="569"/>
      <c r="AK837" s="569"/>
      <c r="AL837" s="569"/>
      <c r="AM837" s="249"/>
    </row>
    <row r="838" spans="1:39" ht="12.75" customHeight="1">
      <c r="E838" s="54"/>
      <c r="F838" s="54"/>
      <c r="G838" s="249"/>
      <c r="H838" s="249"/>
      <c r="I838" s="249"/>
      <c r="J838" s="249"/>
      <c r="K838" s="249"/>
      <c r="L838" s="249"/>
      <c r="M838" s="249"/>
      <c r="N838" s="249"/>
      <c r="O838" s="249"/>
      <c r="P838" s="249"/>
      <c r="Q838" s="249"/>
      <c r="R838" s="249"/>
      <c r="S838" s="249"/>
      <c r="T838" s="249"/>
      <c r="U838" s="249"/>
      <c r="V838" s="249"/>
      <c r="W838" s="249"/>
      <c r="X838" s="249"/>
      <c r="Y838" s="249"/>
      <c r="Z838" s="249"/>
      <c r="AA838" s="249"/>
      <c r="AB838" s="249"/>
      <c r="AC838" s="249"/>
      <c r="AD838" s="249"/>
      <c r="AE838" s="249"/>
      <c r="AF838" s="249"/>
      <c r="AG838" s="249"/>
      <c r="AH838" s="249"/>
      <c r="AI838" s="249"/>
      <c r="AJ838" s="249"/>
      <c r="AK838" s="249"/>
      <c r="AL838" s="249"/>
      <c r="AM838" s="249"/>
    </row>
    <row r="839" spans="1:39" ht="14.1" customHeight="1">
      <c r="E839" s="54"/>
      <c r="F839" s="569" t="s">
        <v>215</v>
      </c>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69"/>
      <c r="AL839" s="569"/>
      <c r="AM839" s="249"/>
    </row>
    <row r="840" spans="1:39">
      <c r="E840" s="54"/>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69"/>
      <c r="AL840" s="569"/>
      <c r="AM840" s="249"/>
    </row>
    <row r="841" spans="1:39">
      <c r="E841" s="54"/>
      <c r="F841" s="569"/>
      <c r="G841" s="569"/>
      <c r="H841" s="569"/>
      <c r="I841" s="569"/>
      <c r="J841" s="569"/>
      <c r="K841" s="569"/>
      <c r="L841" s="569"/>
      <c r="M841" s="569"/>
      <c r="N841" s="569"/>
      <c r="O841" s="569"/>
      <c r="P841" s="569"/>
      <c r="Q841" s="569"/>
      <c r="R841" s="569"/>
      <c r="S841" s="569"/>
      <c r="T841" s="569"/>
      <c r="U841" s="569"/>
      <c r="V841" s="569"/>
      <c r="W841" s="569"/>
      <c r="X841" s="569"/>
      <c r="Y841" s="569"/>
      <c r="Z841" s="569"/>
      <c r="AA841" s="569"/>
      <c r="AB841" s="569"/>
      <c r="AC841" s="569"/>
      <c r="AD841" s="569"/>
      <c r="AE841" s="569"/>
      <c r="AF841" s="569"/>
      <c r="AG841" s="569"/>
      <c r="AH841" s="569"/>
      <c r="AI841" s="569"/>
      <c r="AJ841" s="569"/>
      <c r="AK841" s="569"/>
      <c r="AL841" s="569"/>
      <c r="AM841" s="249"/>
    </row>
    <row r="842" spans="1:39">
      <c r="E842" s="54"/>
      <c r="F842" s="569"/>
      <c r="G842" s="569"/>
      <c r="H842" s="569"/>
      <c r="I842" s="569"/>
      <c r="J842" s="569"/>
      <c r="K842" s="569"/>
      <c r="L842" s="569"/>
      <c r="M842" s="569"/>
      <c r="N842" s="569"/>
      <c r="O842" s="569"/>
      <c r="P842" s="569"/>
      <c r="Q842" s="569"/>
      <c r="R842" s="569"/>
      <c r="S842" s="569"/>
      <c r="T842" s="569"/>
      <c r="U842" s="569"/>
      <c r="V842" s="569"/>
      <c r="W842" s="569"/>
      <c r="X842" s="569"/>
      <c r="Y842" s="569"/>
      <c r="Z842" s="569"/>
      <c r="AA842" s="569"/>
      <c r="AB842" s="569"/>
      <c r="AC842" s="569"/>
      <c r="AD842" s="569"/>
      <c r="AE842" s="569"/>
      <c r="AF842" s="569"/>
      <c r="AG842" s="569"/>
      <c r="AH842" s="569"/>
      <c r="AI842" s="569"/>
      <c r="AJ842" s="569"/>
      <c r="AK842" s="569"/>
      <c r="AL842" s="569"/>
      <c r="AM842" s="249"/>
    </row>
    <row r="843" spans="1:39" s="231" customFormat="1" ht="28.5" customHeight="1">
      <c r="A843" s="1"/>
      <c r="B843" s="1"/>
      <c r="C843" s="2"/>
      <c r="D843" s="1"/>
      <c r="E843" s="248"/>
      <c r="F843" s="569"/>
      <c r="G843" s="569"/>
      <c r="H843" s="569"/>
      <c r="I843" s="569"/>
      <c r="J843" s="569"/>
      <c r="K843" s="569"/>
      <c r="L843" s="569"/>
      <c r="M843" s="569"/>
      <c r="N843" s="569"/>
      <c r="O843" s="569"/>
      <c r="P843" s="569"/>
      <c r="Q843" s="569"/>
      <c r="R843" s="569"/>
      <c r="S843" s="569"/>
      <c r="T843" s="569"/>
      <c r="U843" s="569"/>
      <c r="V843" s="569"/>
      <c r="W843" s="569"/>
      <c r="X843" s="569"/>
      <c r="Y843" s="569"/>
      <c r="Z843" s="569"/>
      <c r="AA843" s="569"/>
      <c r="AB843" s="569"/>
      <c r="AC843" s="569"/>
      <c r="AD843" s="569"/>
      <c r="AE843" s="569"/>
      <c r="AF843" s="569"/>
      <c r="AG843" s="569"/>
      <c r="AH843" s="569"/>
      <c r="AI843" s="569"/>
      <c r="AJ843" s="569"/>
      <c r="AK843" s="569"/>
      <c r="AL843" s="569"/>
      <c r="AM843" s="248"/>
    </row>
    <row r="844" spans="1:39" s="231" customFormat="1">
      <c r="A844" s="1"/>
      <c r="B844" s="1"/>
      <c r="C844" s="2"/>
      <c r="D844" s="1"/>
      <c r="E844" s="248"/>
      <c r="F844" s="248"/>
      <c r="G844" s="248"/>
      <c r="H844" s="248"/>
      <c r="I844" s="248"/>
      <c r="J844" s="248"/>
      <c r="K844" s="248"/>
      <c r="L844" s="248"/>
      <c r="M844" s="248"/>
      <c r="N844" s="248"/>
      <c r="O844" s="248"/>
      <c r="P844" s="248"/>
      <c r="Q844" s="248"/>
      <c r="R844" s="248"/>
      <c r="S844" s="248"/>
      <c r="T844" s="248"/>
      <c r="U844" s="248"/>
      <c r="V844" s="248"/>
      <c r="W844" s="248"/>
      <c r="X844" s="248"/>
      <c r="Y844" s="248"/>
      <c r="Z844" s="248"/>
      <c r="AA844" s="248"/>
      <c r="AB844" s="248"/>
      <c r="AC844" s="248"/>
      <c r="AD844" s="248"/>
      <c r="AE844" s="248"/>
      <c r="AF844" s="248"/>
      <c r="AG844" s="248"/>
      <c r="AH844" s="248"/>
      <c r="AI844" s="248"/>
      <c r="AJ844" s="248"/>
      <c r="AK844" s="248"/>
      <c r="AL844" s="248"/>
      <c r="AM844" s="248"/>
    </row>
    <row r="845" spans="1:39" s="231" customFormat="1">
      <c r="A845" s="1"/>
      <c r="B845" s="1"/>
      <c r="C845" s="2"/>
      <c r="D845" s="1"/>
      <c r="E845" s="248"/>
      <c r="F845" s="223"/>
      <c r="G845" s="223"/>
      <c r="H845" s="224"/>
      <c r="I845" s="224"/>
      <c r="J845" s="224"/>
      <c r="K845" s="224"/>
      <c r="L845" s="224"/>
      <c r="M845" s="224"/>
      <c r="N845" s="224"/>
      <c r="O845" s="224"/>
      <c r="P845" s="224"/>
      <c r="Q845" s="224"/>
      <c r="R845" s="224"/>
      <c r="S845" s="224"/>
      <c r="T845" s="224"/>
      <c r="U845" s="224"/>
      <c r="V845" s="224"/>
      <c r="W845" s="224"/>
      <c r="X845" s="224"/>
      <c r="Y845" s="224"/>
      <c r="Z845" s="224"/>
      <c r="AA845" s="224"/>
      <c r="AB845" s="224"/>
      <c r="AC845" s="224"/>
      <c r="AD845" s="224"/>
      <c r="AE845" s="224"/>
      <c r="AF845" s="224"/>
      <c r="AG845" s="224"/>
      <c r="AH845" s="224"/>
      <c r="AI845" s="224"/>
      <c r="AJ845" s="224"/>
      <c r="AK845" s="224"/>
      <c r="AL845" s="224"/>
      <c r="AM845" s="224"/>
    </row>
    <row r="846" spans="1:39" ht="12.75" customHeight="1">
      <c r="E846" s="54"/>
      <c r="F846" s="665" t="s">
        <v>481</v>
      </c>
      <c r="G846" s="665"/>
      <c r="H846" s="613" t="s">
        <v>216</v>
      </c>
      <c r="I846" s="613"/>
      <c r="J846" s="613"/>
      <c r="K846" s="613"/>
      <c r="L846" s="613"/>
      <c r="M846" s="613"/>
      <c r="N846" s="613"/>
      <c r="O846" s="613"/>
      <c r="P846" s="613"/>
      <c r="Q846" s="613"/>
      <c r="R846" s="613"/>
      <c r="S846" s="613"/>
      <c r="T846" s="613"/>
      <c r="U846" s="613"/>
      <c r="V846" s="613"/>
      <c r="W846" s="613"/>
      <c r="X846" s="613"/>
      <c r="Y846" s="613"/>
      <c r="Z846" s="613"/>
      <c r="AA846" s="613"/>
      <c r="AB846" s="613"/>
      <c r="AC846" s="613"/>
      <c r="AD846" s="613"/>
      <c r="AE846" s="613"/>
      <c r="AF846" s="613"/>
      <c r="AG846" s="613"/>
      <c r="AH846" s="613"/>
      <c r="AI846" s="613"/>
      <c r="AJ846" s="613"/>
      <c r="AK846" s="613"/>
      <c r="AL846" s="33"/>
      <c r="AM846" s="33"/>
    </row>
    <row r="847" spans="1:39" ht="14.1" customHeight="1">
      <c r="E847" s="54"/>
      <c r="F847" s="569" t="s">
        <v>217</v>
      </c>
      <c r="G847" s="569"/>
      <c r="H847" s="569"/>
      <c r="I847" s="569"/>
      <c r="J847" s="569"/>
      <c r="K847" s="569"/>
      <c r="L847" s="569"/>
      <c r="M847" s="569"/>
      <c r="N847" s="569"/>
      <c r="O847" s="569"/>
      <c r="P847" s="569"/>
      <c r="Q847" s="569"/>
      <c r="R847" s="569"/>
      <c r="S847" s="569"/>
      <c r="T847" s="569"/>
      <c r="U847" s="569"/>
      <c r="V847" s="569"/>
      <c r="W847" s="569"/>
      <c r="X847" s="569"/>
      <c r="Y847" s="569"/>
      <c r="Z847" s="569"/>
      <c r="AA847" s="569"/>
      <c r="AB847" s="569"/>
      <c r="AC847" s="569"/>
      <c r="AD847" s="569"/>
      <c r="AE847" s="569"/>
      <c r="AF847" s="569"/>
      <c r="AG847" s="569"/>
      <c r="AH847" s="569"/>
      <c r="AI847" s="569"/>
      <c r="AJ847" s="569"/>
      <c r="AK847" s="569"/>
      <c r="AL847" s="569"/>
      <c r="AM847" s="249"/>
    </row>
    <row r="848" spans="1:39">
      <c r="E848" s="54"/>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69"/>
      <c r="AB848" s="569"/>
      <c r="AC848" s="569"/>
      <c r="AD848" s="569"/>
      <c r="AE848" s="569"/>
      <c r="AF848" s="569"/>
      <c r="AG848" s="569"/>
      <c r="AH848" s="569"/>
      <c r="AI848" s="569"/>
      <c r="AJ848" s="569"/>
      <c r="AK848" s="569"/>
      <c r="AL848" s="569"/>
      <c r="AM848" s="249"/>
    </row>
    <row r="849" spans="5:39">
      <c r="E849" s="54"/>
      <c r="F849" s="569"/>
      <c r="G849" s="569"/>
      <c r="H849" s="569"/>
      <c r="I849" s="569"/>
      <c r="J849" s="569"/>
      <c r="K849" s="569"/>
      <c r="L849" s="569"/>
      <c r="M849" s="569"/>
      <c r="N849" s="569"/>
      <c r="O849" s="569"/>
      <c r="P849" s="569"/>
      <c r="Q849" s="569"/>
      <c r="R849" s="569"/>
      <c r="S849" s="569"/>
      <c r="T849" s="569"/>
      <c r="U849" s="569"/>
      <c r="V849" s="569"/>
      <c r="W849" s="569"/>
      <c r="X849" s="569"/>
      <c r="Y849" s="569"/>
      <c r="Z849" s="569"/>
      <c r="AA849" s="569"/>
      <c r="AB849" s="569"/>
      <c r="AC849" s="569"/>
      <c r="AD849" s="569"/>
      <c r="AE849" s="569"/>
      <c r="AF849" s="569"/>
      <c r="AG849" s="569"/>
      <c r="AH849" s="569"/>
      <c r="AI849" s="569"/>
      <c r="AJ849" s="569"/>
      <c r="AK849" s="569"/>
      <c r="AL849" s="569"/>
      <c r="AM849" s="249"/>
    </row>
    <row r="850" spans="5:39" ht="17.25" customHeight="1">
      <c r="E850" s="54"/>
      <c r="F850" s="569"/>
      <c r="G850" s="569"/>
      <c r="H850" s="569"/>
      <c r="I850" s="569"/>
      <c r="J850" s="569"/>
      <c r="K850" s="569"/>
      <c r="L850" s="569"/>
      <c r="M850" s="569"/>
      <c r="N850" s="569"/>
      <c r="O850" s="569"/>
      <c r="P850" s="569"/>
      <c r="Q850" s="569"/>
      <c r="R850" s="569"/>
      <c r="S850" s="569"/>
      <c r="T850" s="569"/>
      <c r="U850" s="569"/>
      <c r="V850" s="569"/>
      <c r="W850" s="569"/>
      <c r="X850" s="569"/>
      <c r="Y850" s="569"/>
      <c r="Z850" s="569"/>
      <c r="AA850" s="569"/>
      <c r="AB850" s="569"/>
      <c r="AC850" s="569"/>
      <c r="AD850" s="569"/>
      <c r="AE850" s="569"/>
      <c r="AF850" s="569"/>
      <c r="AG850" s="569"/>
      <c r="AH850" s="569"/>
      <c r="AI850" s="569"/>
      <c r="AJ850" s="569"/>
      <c r="AK850" s="569"/>
      <c r="AL850" s="569"/>
      <c r="AM850" s="249"/>
    </row>
    <row r="851" spans="5:39" ht="12.75" customHeight="1">
      <c r="E851" s="54"/>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row>
    <row r="852" spans="5:39" ht="14.1" customHeight="1">
      <c r="E852" s="54"/>
      <c r="F852" s="569" t="s">
        <v>218</v>
      </c>
      <c r="G852" s="569"/>
      <c r="H852" s="569"/>
      <c r="I852" s="569"/>
      <c r="J852" s="569"/>
      <c r="K852" s="569"/>
      <c r="L852" s="569"/>
      <c r="M852" s="569"/>
      <c r="N852" s="569"/>
      <c r="O852" s="569"/>
      <c r="P852" s="569"/>
      <c r="Q852" s="569"/>
      <c r="R852" s="569"/>
      <c r="S852" s="569"/>
      <c r="T852" s="569"/>
      <c r="U852" s="569"/>
      <c r="V852" s="569"/>
      <c r="W852" s="569"/>
      <c r="X852" s="569"/>
      <c r="Y852" s="569"/>
      <c r="Z852" s="569"/>
      <c r="AA852" s="569"/>
      <c r="AB852" s="569"/>
      <c r="AC852" s="569"/>
      <c r="AD852" s="569"/>
      <c r="AE852" s="569"/>
      <c r="AF852" s="569"/>
      <c r="AG852" s="569"/>
      <c r="AH852" s="569"/>
      <c r="AI852" s="569"/>
      <c r="AJ852" s="569"/>
      <c r="AK852" s="569"/>
      <c r="AL852" s="569"/>
      <c r="AM852" s="249"/>
    </row>
    <row r="853" spans="5:39" ht="12.75" customHeight="1">
      <c r="E853" s="54"/>
      <c r="F853" s="569"/>
      <c r="G853" s="569"/>
      <c r="H853" s="569"/>
      <c r="I853" s="569"/>
      <c r="J853" s="569"/>
      <c r="K853" s="569"/>
      <c r="L853" s="569"/>
      <c r="M853" s="569"/>
      <c r="N853" s="569"/>
      <c r="O853" s="569"/>
      <c r="P853" s="569"/>
      <c r="Q853" s="569"/>
      <c r="R853" s="569"/>
      <c r="S853" s="569"/>
      <c r="T853" s="569"/>
      <c r="U853" s="569"/>
      <c r="V853" s="569"/>
      <c r="W853" s="569"/>
      <c r="X853" s="569"/>
      <c r="Y853" s="569"/>
      <c r="Z853" s="569"/>
      <c r="AA853" s="569"/>
      <c r="AB853" s="569"/>
      <c r="AC853" s="569"/>
      <c r="AD853" s="569"/>
      <c r="AE853" s="569"/>
      <c r="AF853" s="569"/>
      <c r="AG853" s="569"/>
      <c r="AH853" s="569"/>
      <c r="AI853" s="569"/>
      <c r="AJ853" s="569"/>
      <c r="AK853" s="569"/>
      <c r="AL853" s="569"/>
      <c r="AM853" s="249"/>
    </row>
    <row r="854" spans="5:39" ht="12.75" customHeight="1">
      <c r="E854" s="54"/>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row>
    <row r="855" spans="5:39" ht="14.1" customHeight="1">
      <c r="E855" s="54"/>
      <c r="F855" s="665" t="s">
        <v>482</v>
      </c>
      <c r="G855" s="665"/>
      <c r="H855" s="661" t="s">
        <v>219</v>
      </c>
      <c r="I855" s="661"/>
      <c r="J855" s="661"/>
      <c r="K855" s="661"/>
      <c r="L855" s="661"/>
      <c r="M855" s="661"/>
      <c r="N855" s="661"/>
      <c r="O855" s="661"/>
      <c r="P855" s="661"/>
      <c r="Q855" s="661"/>
      <c r="R855" s="661"/>
      <c r="S855" s="661"/>
      <c r="T855" s="661"/>
      <c r="U855" s="661"/>
      <c r="V855" s="661"/>
      <c r="W855" s="661"/>
      <c r="X855" s="661"/>
      <c r="Y855" s="661"/>
      <c r="Z855" s="661"/>
      <c r="AA855" s="661"/>
      <c r="AB855" s="661"/>
      <c r="AC855" s="661"/>
      <c r="AD855" s="661"/>
      <c r="AE855" s="661"/>
      <c r="AF855" s="661"/>
      <c r="AG855" s="661"/>
      <c r="AH855" s="661"/>
      <c r="AI855" s="661"/>
      <c r="AJ855" s="661"/>
      <c r="AK855" s="55"/>
      <c r="AL855" s="55"/>
      <c r="AM855" s="55"/>
    </row>
    <row r="856" spans="5:39" ht="14.1" customHeight="1">
      <c r="E856" s="54"/>
      <c r="F856" s="569" t="s">
        <v>220</v>
      </c>
      <c r="G856" s="569"/>
      <c r="H856" s="569"/>
      <c r="I856" s="569"/>
      <c r="J856" s="569"/>
      <c r="K856" s="569"/>
      <c r="L856" s="569"/>
      <c r="M856" s="569"/>
      <c r="N856" s="569"/>
      <c r="O856" s="569"/>
      <c r="P856" s="569"/>
      <c r="Q856" s="569"/>
      <c r="R856" s="569"/>
      <c r="S856" s="569"/>
      <c r="T856" s="569"/>
      <c r="U856" s="569"/>
      <c r="V856" s="569"/>
      <c r="W856" s="569"/>
      <c r="X856" s="569"/>
      <c r="Y856" s="569"/>
      <c r="Z856" s="569"/>
      <c r="AA856" s="569"/>
      <c r="AB856" s="569"/>
      <c r="AC856" s="569"/>
      <c r="AD856" s="569"/>
      <c r="AE856" s="569"/>
      <c r="AF856" s="569"/>
      <c r="AG856" s="569"/>
      <c r="AH856" s="569"/>
      <c r="AI856" s="569"/>
      <c r="AJ856" s="569"/>
      <c r="AK856" s="569"/>
      <c r="AL856" s="569"/>
      <c r="AM856" s="249"/>
    </row>
    <row r="857" spans="5:39" ht="27" customHeight="1">
      <c r="E857" s="54"/>
      <c r="F857" s="569"/>
      <c r="G857" s="569"/>
      <c r="H857" s="569"/>
      <c r="I857" s="569"/>
      <c r="J857" s="569"/>
      <c r="K857" s="569"/>
      <c r="L857" s="569"/>
      <c r="M857" s="569"/>
      <c r="N857" s="569"/>
      <c r="O857" s="569"/>
      <c r="P857" s="569"/>
      <c r="Q857" s="569"/>
      <c r="R857" s="569"/>
      <c r="S857" s="569"/>
      <c r="T857" s="569"/>
      <c r="U857" s="569"/>
      <c r="V857" s="569"/>
      <c r="W857" s="569"/>
      <c r="X857" s="569"/>
      <c r="Y857" s="569"/>
      <c r="Z857" s="569"/>
      <c r="AA857" s="569"/>
      <c r="AB857" s="569"/>
      <c r="AC857" s="569"/>
      <c r="AD857" s="569"/>
      <c r="AE857" s="569"/>
      <c r="AF857" s="569"/>
      <c r="AG857" s="569"/>
      <c r="AH857" s="569"/>
      <c r="AI857" s="569"/>
      <c r="AJ857" s="569"/>
      <c r="AK857" s="569"/>
      <c r="AL857" s="569"/>
      <c r="AM857" s="249"/>
    </row>
    <row r="858" spans="5:39">
      <c r="E858" s="54"/>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row>
    <row r="859" spans="5:39" ht="14.1" customHeight="1">
      <c r="E859" s="54"/>
      <c r="F859" s="569" t="s">
        <v>221</v>
      </c>
      <c r="G859" s="569"/>
      <c r="H859" s="569"/>
      <c r="I859" s="569"/>
      <c r="J859" s="569"/>
      <c r="K859" s="569"/>
      <c r="L859" s="569"/>
      <c r="M859" s="569"/>
      <c r="N859" s="569"/>
      <c r="O859" s="569"/>
      <c r="P859" s="569"/>
      <c r="Q859" s="569"/>
      <c r="R859" s="569"/>
      <c r="S859" s="569"/>
      <c r="T859" s="569"/>
      <c r="U859" s="569"/>
      <c r="V859" s="569"/>
      <c r="W859" s="569"/>
      <c r="X859" s="569"/>
      <c r="Y859" s="569"/>
      <c r="Z859" s="569"/>
      <c r="AA859" s="569"/>
      <c r="AB859" s="569"/>
      <c r="AC859" s="569"/>
      <c r="AD859" s="569"/>
      <c r="AE859" s="569"/>
      <c r="AF859" s="569"/>
      <c r="AG859" s="569"/>
      <c r="AH859" s="569"/>
      <c r="AI859" s="569"/>
      <c r="AJ859" s="569"/>
      <c r="AK859" s="569"/>
      <c r="AL859" s="569"/>
      <c r="AM859" s="249"/>
    </row>
    <row r="860" spans="5:39" ht="25.5" customHeight="1">
      <c r="E860" s="54"/>
      <c r="F860" s="569"/>
      <c r="G860" s="569"/>
      <c r="H860" s="569"/>
      <c r="I860" s="569"/>
      <c r="J860" s="569"/>
      <c r="K860" s="569"/>
      <c r="L860" s="569"/>
      <c r="M860" s="569"/>
      <c r="N860" s="569"/>
      <c r="O860" s="569"/>
      <c r="P860" s="569"/>
      <c r="Q860" s="569"/>
      <c r="R860" s="569"/>
      <c r="S860" s="569"/>
      <c r="T860" s="569"/>
      <c r="U860" s="569"/>
      <c r="V860" s="569"/>
      <c r="W860" s="569"/>
      <c r="X860" s="569"/>
      <c r="Y860" s="569"/>
      <c r="Z860" s="569"/>
      <c r="AA860" s="569"/>
      <c r="AB860" s="569"/>
      <c r="AC860" s="569"/>
      <c r="AD860" s="569"/>
      <c r="AE860" s="569"/>
      <c r="AF860" s="569"/>
      <c r="AG860" s="569"/>
      <c r="AH860" s="569"/>
      <c r="AI860" s="569"/>
      <c r="AJ860" s="569"/>
      <c r="AK860" s="569"/>
      <c r="AL860" s="569"/>
      <c r="AM860" s="249"/>
    </row>
    <row r="861" spans="5:39">
      <c r="E861" s="54"/>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row>
    <row r="862" spans="5:39" ht="14.1" customHeight="1">
      <c r="E862" s="54"/>
      <c r="F862" s="665" t="s">
        <v>488</v>
      </c>
      <c r="G862" s="665"/>
      <c r="H862" s="661" t="s">
        <v>222</v>
      </c>
      <c r="I862" s="661"/>
      <c r="J862" s="661"/>
      <c r="K862" s="661"/>
      <c r="L862" s="661"/>
      <c r="M862" s="661"/>
      <c r="N862" s="661"/>
      <c r="O862" s="661"/>
      <c r="P862" s="661"/>
      <c r="Q862" s="661"/>
      <c r="R862" s="661"/>
      <c r="S862" s="661"/>
      <c r="T862" s="661"/>
      <c r="U862" s="661"/>
      <c r="V862" s="661"/>
      <c r="W862" s="661"/>
      <c r="X862" s="661"/>
      <c r="Y862" s="661"/>
      <c r="Z862" s="661"/>
      <c r="AA862" s="661"/>
      <c r="AB862" s="661"/>
      <c r="AC862" s="661"/>
      <c r="AD862" s="661"/>
      <c r="AE862" s="661"/>
      <c r="AF862" s="661"/>
      <c r="AG862" s="661"/>
      <c r="AH862" s="661"/>
      <c r="AI862" s="661"/>
      <c r="AJ862" s="661"/>
      <c r="AK862" s="55"/>
      <c r="AL862" s="55"/>
      <c r="AM862" s="55"/>
    </row>
    <row r="863" spans="5:39" ht="14.1" customHeight="1">
      <c r="E863" s="54"/>
      <c r="F863" s="569" t="s">
        <v>223</v>
      </c>
      <c r="G863" s="569"/>
      <c r="H863" s="569"/>
      <c r="I863" s="569"/>
      <c r="J863" s="569"/>
      <c r="K863" s="569"/>
      <c r="L863" s="569"/>
      <c r="M863" s="569"/>
      <c r="N863" s="569"/>
      <c r="O863" s="569"/>
      <c r="P863" s="569"/>
      <c r="Q863" s="569"/>
      <c r="R863" s="569"/>
      <c r="S863" s="569"/>
      <c r="T863" s="569"/>
      <c r="U863" s="569"/>
      <c r="V863" s="569"/>
      <c r="W863" s="569"/>
      <c r="X863" s="569"/>
      <c r="Y863" s="569"/>
      <c r="Z863" s="569"/>
      <c r="AA863" s="569"/>
      <c r="AB863" s="569"/>
      <c r="AC863" s="569"/>
      <c r="AD863" s="569"/>
      <c r="AE863" s="569"/>
      <c r="AF863" s="569"/>
      <c r="AG863" s="569"/>
      <c r="AH863" s="569"/>
      <c r="AI863" s="569"/>
      <c r="AJ863" s="569"/>
      <c r="AK863" s="569"/>
      <c r="AL863" s="569"/>
      <c r="AM863" s="249"/>
    </row>
    <row r="864" spans="5:39" ht="18" customHeight="1">
      <c r="E864" s="54"/>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69"/>
      <c r="AB864" s="569"/>
      <c r="AC864" s="569"/>
      <c r="AD864" s="569"/>
      <c r="AE864" s="569"/>
      <c r="AF864" s="569"/>
      <c r="AG864" s="569"/>
      <c r="AH864" s="569"/>
      <c r="AI864" s="569"/>
      <c r="AJ864" s="569"/>
      <c r="AK864" s="569"/>
      <c r="AL864" s="569"/>
      <c r="AM864" s="249"/>
    </row>
    <row r="865" spans="1:39" ht="12.75" customHeight="1">
      <c r="D865" s="1">
        <v>9</v>
      </c>
      <c r="E865" s="54"/>
    </row>
    <row r="866" spans="1:39" ht="12.75" customHeight="1">
      <c r="E866" s="54"/>
      <c r="F866" s="665" t="s">
        <v>483</v>
      </c>
      <c r="G866" s="665"/>
      <c r="H866" s="661" t="s">
        <v>224</v>
      </c>
      <c r="I866" s="661"/>
      <c r="J866" s="661"/>
      <c r="K866" s="661"/>
      <c r="L866" s="661"/>
      <c r="M866" s="661"/>
      <c r="N866" s="661"/>
      <c r="O866" s="661"/>
      <c r="P866" s="661"/>
      <c r="Q866" s="661"/>
      <c r="R866" s="661"/>
      <c r="S866" s="661"/>
      <c r="T866" s="661"/>
      <c r="U866" s="661"/>
      <c r="V866" s="661"/>
      <c r="W866" s="661"/>
      <c r="X866" s="661"/>
      <c r="Y866" s="661"/>
      <c r="Z866" s="661"/>
      <c r="AA866" s="661"/>
      <c r="AB866" s="661"/>
      <c r="AC866" s="661"/>
      <c r="AD866" s="661"/>
      <c r="AE866" s="661"/>
      <c r="AF866" s="661"/>
      <c r="AG866" s="661"/>
      <c r="AH866" s="661"/>
      <c r="AI866" s="661"/>
      <c r="AJ866" s="661"/>
      <c r="AK866" s="55"/>
      <c r="AL866" s="55"/>
      <c r="AM866" s="55"/>
    </row>
    <row r="867" spans="1:39" ht="14.1" customHeight="1">
      <c r="E867" s="54"/>
      <c r="F867" s="569" t="s">
        <v>225</v>
      </c>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69"/>
      <c r="AL867" s="569"/>
      <c r="AM867" s="249"/>
    </row>
    <row r="868" spans="1:39">
      <c r="E868" s="54"/>
      <c r="F868" s="569"/>
      <c r="G868" s="569"/>
      <c r="H868" s="569"/>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69"/>
      <c r="AI868" s="569"/>
      <c r="AJ868" s="569"/>
      <c r="AK868" s="569"/>
      <c r="AL868" s="569"/>
      <c r="AM868" s="249"/>
    </row>
    <row r="869" spans="1:39">
      <c r="E869" s="54"/>
      <c r="F869" s="569"/>
      <c r="G869" s="569"/>
      <c r="H869" s="569"/>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69"/>
      <c r="AI869" s="569"/>
      <c r="AJ869" s="569"/>
      <c r="AK869" s="569"/>
      <c r="AL869" s="569"/>
      <c r="AM869" s="249"/>
    </row>
    <row r="870" spans="1:39">
      <c r="E870" s="54"/>
      <c r="F870" s="569"/>
      <c r="G870" s="569"/>
      <c r="H870" s="569"/>
      <c r="I870" s="569"/>
      <c r="J870" s="569"/>
      <c r="K870" s="569"/>
      <c r="L870" s="569"/>
      <c r="M870" s="569"/>
      <c r="N870" s="569"/>
      <c r="O870" s="569"/>
      <c r="P870" s="569"/>
      <c r="Q870" s="569"/>
      <c r="R870" s="569"/>
      <c r="S870" s="569"/>
      <c r="T870" s="569"/>
      <c r="U870" s="569"/>
      <c r="V870" s="569"/>
      <c r="W870" s="569"/>
      <c r="X870" s="569"/>
      <c r="Y870" s="569"/>
      <c r="Z870" s="569"/>
      <c r="AA870" s="569"/>
      <c r="AB870" s="569"/>
      <c r="AC870" s="569"/>
      <c r="AD870" s="569"/>
      <c r="AE870" s="569"/>
      <c r="AF870" s="569"/>
      <c r="AG870" s="569"/>
      <c r="AH870" s="569"/>
      <c r="AI870" s="569"/>
      <c r="AJ870" s="569"/>
      <c r="AK870" s="569"/>
      <c r="AL870" s="569"/>
      <c r="AM870" s="249"/>
    </row>
    <row r="871" spans="1:39" ht="42.75" customHeight="1">
      <c r="E871" s="54"/>
      <c r="F871" s="569"/>
      <c r="G871" s="569"/>
      <c r="H871" s="569"/>
      <c r="I871" s="569"/>
      <c r="J871" s="569"/>
      <c r="K871" s="569"/>
      <c r="L871" s="569"/>
      <c r="M871" s="569"/>
      <c r="N871" s="569"/>
      <c r="O871" s="569"/>
      <c r="P871" s="569"/>
      <c r="Q871" s="569"/>
      <c r="R871" s="569"/>
      <c r="S871" s="569"/>
      <c r="T871" s="569"/>
      <c r="U871" s="569"/>
      <c r="V871" s="569"/>
      <c r="W871" s="569"/>
      <c r="X871" s="569"/>
      <c r="Y871" s="569"/>
      <c r="Z871" s="569"/>
      <c r="AA871" s="569"/>
      <c r="AB871" s="569"/>
      <c r="AC871" s="569"/>
      <c r="AD871" s="569"/>
      <c r="AE871" s="569"/>
      <c r="AF871" s="569"/>
      <c r="AG871" s="569"/>
      <c r="AH871" s="569"/>
      <c r="AI871" s="569"/>
      <c r="AJ871" s="569"/>
      <c r="AK871" s="569"/>
      <c r="AL871" s="569"/>
      <c r="AM871" s="249"/>
    </row>
    <row r="872" spans="1:39" s="382" customFormat="1" ht="14.25" customHeight="1">
      <c r="A872" s="1"/>
      <c r="B872" s="1"/>
      <c r="C872" s="2"/>
      <c r="D872" s="1"/>
      <c r="E872" s="384"/>
      <c r="F872" s="379"/>
      <c r="G872" s="379"/>
      <c r="H872" s="379"/>
      <c r="I872" s="379"/>
      <c r="J872" s="379"/>
      <c r="K872" s="379"/>
      <c r="L872" s="379"/>
      <c r="M872" s="379"/>
      <c r="N872" s="379"/>
      <c r="O872" s="379"/>
      <c r="P872" s="379"/>
      <c r="Q872" s="379"/>
      <c r="R872" s="379"/>
      <c r="S872" s="379"/>
      <c r="T872" s="379"/>
      <c r="U872" s="379"/>
      <c r="V872" s="379"/>
      <c r="W872" s="379"/>
      <c r="X872" s="379"/>
      <c r="Y872" s="379"/>
      <c r="Z872" s="379"/>
      <c r="AA872" s="379"/>
      <c r="AB872" s="379"/>
      <c r="AC872" s="379"/>
      <c r="AD872" s="379"/>
      <c r="AE872" s="379"/>
      <c r="AF872" s="379"/>
      <c r="AG872" s="379"/>
      <c r="AH872" s="379"/>
      <c r="AI872" s="379"/>
      <c r="AJ872" s="379"/>
      <c r="AK872" s="379"/>
      <c r="AL872" s="379"/>
      <c r="AM872" s="381"/>
    </row>
    <row r="873" spans="1:39" s="361" customFormat="1" ht="12.75" customHeight="1">
      <c r="A873" s="1"/>
      <c r="B873" s="1"/>
      <c r="C873" s="2"/>
      <c r="D873" s="1"/>
      <c r="E873" s="363"/>
      <c r="F873" s="354"/>
      <c r="G873" s="354"/>
      <c r="H873" s="354"/>
      <c r="I873" s="354"/>
      <c r="J873" s="354"/>
      <c r="K873" s="354"/>
      <c r="L873" s="354"/>
      <c r="M873" s="354"/>
      <c r="N873" s="354"/>
      <c r="O873" s="354"/>
      <c r="P873" s="354"/>
      <c r="Q873" s="354"/>
      <c r="R873" s="354"/>
      <c r="S873" s="354"/>
      <c r="T873" s="354"/>
      <c r="U873" s="354"/>
      <c r="V873" s="354"/>
      <c r="W873" s="354"/>
      <c r="X873" s="354"/>
      <c r="Y873" s="354"/>
      <c r="Z873" s="354"/>
      <c r="AA873" s="354"/>
      <c r="AB873" s="354"/>
      <c r="AC873" s="354"/>
      <c r="AD873" s="354"/>
      <c r="AE873" s="354"/>
      <c r="AF873" s="354"/>
      <c r="AG873" s="354"/>
      <c r="AH873" s="354"/>
      <c r="AI873" s="354"/>
      <c r="AJ873" s="354"/>
      <c r="AK873" s="354"/>
      <c r="AL873" s="354"/>
      <c r="AM873" s="360"/>
    </row>
    <row r="874" spans="1:39" s="368" customFormat="1" ht="12.75" customHeight="1">
      <c r="A874" s="1"/>
      <c r="B874" s="1"/>
      <c r="C874" s="2"/>
      <c r="D874" s="1"/>
      <c r="E874" s="371"/>
      <c r="F874" s="369"/>
      <c r="G874" s="369"/>
      <c r="H874" s="369"/>
      <c r="I874" s="369"/>
      <c r="J874" s="369"/>
      <c r="K874" s="369"/>
      <c r="L874" s="369"/>
      <c r="M874" s="369"/>
      <c r="N874" s="369"/>
      <c r="O874" s="369"/>
      <c r="P874" s="369"/>
      <c r="Q874" s="369"/>
      <c r="R874" s="369"/>
      <c r="S874" s="369"/>
      <c r="T874" s="369"/>
      <c r="U874" s="369"/>
      <c r="V874" s="369"/>
      <c r="W874" s="369"/>
      <c r="X874" s="369"/>
      <c r="Y874" s="369"/>
      <c r="Z874" s="369"/>
      <c r="AA874" s="369"/>
      <c r="AB874" s="369"/>
      <c r="AC874" s="369"/>
      <c r="AD874" s="369"/>
      <c r="AE874" s="369"/>
      <c r="AF874" s="369"/>
      <c r="AG874" s="369"/>
      <c r="AH874" s="369"/>
      <c r="AI874" s="369"/>
      <c r="AJ874" s="369"/>
      <c r="AK874" s="369"/>
      <c r="AL874" s="369"/>
      <c r="AM874" s="372"/>
    </row>
    <row r="875" spans="1:39" s="361" customFormat="1" ht="12.75" customHeight="1">
      <c r="A875" s="1"/>
      <c r="B875" s="1"/>
      <c r="C875" s="2"/>
      <c r="D875" s="1"/>
      <c r="E875" s="363"/>
      <c r="F875" s="354"/>
      <c r="G875" s="354"/>
      <c r="H875" s="354"/>
      <c r="I875" s="354"/>
      <c r="J875" s="354"/>
      <c r="K875" s="354"/>
      <c r="L875" s="354"/>
      <c r="M875" s="354"/>
      <c r="N875" s="354"/>
      <c r="O875" s="354"/>
      <c r="P875" s="354"/>
      <c r="Q875" s="354"/>
      <c r="R875" s="354"/>
      <c r="S875" s="354"/>
      <c r="T875" s="354"/>
      <c r="U875" s="354"/>
      <c r="V875" s="354"/>
      <c r="W875" s="354"/>
      <c r="X875" s="354"/>
      <c r="Y875" s="354"/>
      <c r="Z875" s="354"/>
      <c r="AA875" s="354"/>
      <c r="AB875" s="354"/>
      <c r="AC875" s="354"/>
      <c r="AD875" s="354"/>
      <c r="AE875" s="354"/>
      <c r="AF875" s="354"/>
      <c r="AG875" s="354"/>
      <c r="AH875" s="354"/>
      <c r="AI875" s="354"/>
      <c r="AJ875" s="354"/>
      <c r="AK875" s="354"/>
      <c r="AL875" s="354"/>
      <c r="AM875" s="360"/>
    </row>
    <row r="876" spans="1:39" s="361" customFormat="1" ht="12.75" customHeight="1">
      <c r="A876" s="1"/>
      <c r="B876" s="1"/>
      <c r="C876" s="2"/>
      <c r="D876" s="1"/>
      <c r="E876" s="363"/>
      <c r="F876" s="354"/>
      <c r="G876" s="354"/>
      <c r="H876" s="354"/>
      <c r="I876" s="354"/>
      <c r="J876" s="354"/>
      <c r="K876" s="354"/>
      <c r="L876" s="354"/>
      <c r="M876" s="354"/>
      <c r="N876" s="354"/>
      <c r="O876" s="354"/>
      <c r="P876" s="354"/>
      <c r="Q876" s="354"/>
      <c r="R876" s="354"/>
      <c r="S876" s="354"/>
      <c r="T876" s="354"/>
      <c r="U876" s="354"/>
      <c r="V876" s="354"/>
      <c r="W876" s="354"/>
      <c r="X876" s="354"/>
      <c r="Y876" s="354"/>
      <c r="Z876" s="354"/>
      <c r="AA876" s="354"/>
      <c r="AB876" s="354"/>
      <c r="AC876" s="354"/>
      <c r="AD876" s="354"/>
      <c r="AE876" s="354"/>
      <c r="AF876" s="354"/>
      <c r="AG876" s="354"/>
      <c r="AH876" s="354"/>
      <c r="AI876" s="354"/>
      <c r="AJ876" s="354"/>
      <c r="AK876" s="354"/>
      <c r="AL876" s="354"/>
      <c r="AM876" s="360"/>
    </row>
    <row r="877" spans="1:39" s="361" customFormat="1" ht="12.75" customHeight="1">
      <c r="A877" s="1"/>
      <c r="B877" s="1"/>
      <c r="C877" s="2"/>
      <c r="D877" s="1"/>
      <c r="E877" s="363"/>
      <c r="F877" s="354"/>
      <c r="G877" s="354"/>
      <c r="H877" s="354"/>
      <c r="I877" s="354"/>
      <c r="J877" s="354"/>
      <c r="K877" s="354"/>
      <c r="L877" s="354"/>
      <c r="M877" s="354"/>
      <c r="N877" s="354"/>
      <c r="O877" s="354"/>
      <c r="P877" s="354"/>
      <c r="Q877" s="354"/>
      <c r="R877" s="354"/>
      <c r="S877" s="354"/>
      <c r="T877" s="354"/>
      <c r="U877" s="354"/>
      <c r="V877" s="354"/>
      <c r="W877" s="354"/>
      <c r="X877" s="354"/>
      <c r="Y877" s="354"/>
      <c r="Z877" s="354"/>
      <c r="AA877" s="354"/>
      <c r="AB877" s="354"/>
      <c r="AC877" s="354"/>
      <c r="AD877" s="354"/>
      <c r="AE877" s="354"/>
      <c r="AF877" s="354"/>
      <c r="AG877" s="354"/>
      <c r="AH877" s="354"/>
      <c r="AI877" s="354"/>
      <c r="AJ877" s="354"/>
      <c r="AK877" s="354"/>
      <c r="AL877" s="354"/>
      <c r="AM877" s="360"/>
    </row>
    <row r="878" spans="1:39" s="361" customFormat="1" ht="12.75" customHeight="1">
      <c r="A878" s="1"/>
      <c r="B878" s="1"/>
      <c r="C878" s="2"/>
      <c r="D878" s="1"/>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358" t="s">
        <v>24</v>
      </c>
      <c r="AK878" s="612">
        <f>AK821+1</f>
        <v>14</v>
      </c>
      <c r="AL878" s="612"/>
      <c r="AM878" s="358" t="s">
        <v>24</v>
      </c>
    </row>
    <row r="879" spans="1:39" s="361" customFormat="1" ht="12.75" customHeight="1">
      <c r="A879" s="1"/>
      <c r="B879" s="1"/>
      <c r="C879" s="2"/>
      <c r="D879" s="1"/>
      <c r="E879" s="363"/>
      <c r="F879" s="354"/>
      <c r="G879" s="354"/>
      <c r="H879" s="354"/>
      <c r="I879" s="354"/>
      <c r="J879" s="354"/>
      <c r="K879" s="354"/>
      <c r="L879" s="354"/>
      <c r="M879" s="354"/>
      <c r="N879" s="354"/>
      <c r="O879" s="354"/>
      <c r="P879" s="354"/>
      <c r="Q879" s="354"/>
      <c r="R879" s="354"/>
      <c r="S879" s="354"/>
      <c r="T879" s="354"/>
      <c r="U879" s="354"/>
      <c r="V879" s="354"/>
      <c r="W879" s="354"/>
      <c r="X879" s="354"/>
      <c r="Y879" s="354"/>
      <c r="Z879" s="354"/>
      <c r="AA879" s="354"/>
      <c r="AB879" s="354"/>
      <c r="AC879" s="354"/>
      <c r="AD879" s="354"/>
      <c r="AE879" s="354"/>
      <c r="AF879" s="354"/>
      <c r="AG879" s="354"/>
      <c r="AH879" s="354"/>
      <c r="AI879" s="354"/>
      <c r="AJ879" s="354"/>
      <c r="AK879" s="354"/>
      <c r="AL879" s="354"/>
      <c r="AM879" s="360"/>
    </row>
    <row r="880" spans="1:39" s="361" customFormat="1" ht="12.75" customHeight="1">
      <c r="A880" s="1"/>
      <c r="B880" s="1"/>
      <c r="C880" s="2"/>
      <c r="D880" s="1"/>
      <c r="E880" s="363"/>
      <c r="F880" s="354"/>
      <c r="G880" s="354"/>
      <c r="H880" s="354"/>
      <c r="I880" s="354"/>
      <c r="J880" s="354"/>
      <c r="K880" s="354"/>
      <c r="L880" s="354"/>
      <c r="M880" s="354"/>
      <c r="N880" s="354"/>
      <c r="O880" s="354"/>
      <c r="P880" s="354"/>
      <c r="Q880" s="354"/>
      <c r="R880" s="354"/>
      <c r="S880" s="354"/>
      <c r="T880" s="354"/>
      <c r="U880" s="354"/>
      <c r="V880" s="354"/>
      <c r="W880" s="354"/>
      <c r="X880" s="354"/>
      <c r="Y880" s="354"/>
      <c r="Z880" s="354"/>
      <c r="AA880" s="354"/>
      <c r="AB880" s="354"/>
      <c r="AC880" s="354"/>
      <c r="AD880" s="354"/>
      <c r="AE880" s="354"/>
      <c r="AF880" s="354"/>
      <c r="AG880" s="354"/>
      <c r="AH880" s="354"/>
      <c r="AI880" s="354"/>
      <c r="AJ880" s="354"/>
      <c r="AK880" s="354"/>
      <c r="AL880" s="354"/>
      <c r="AM880" s="360"/>
    </row>
    <row r="881" spans="1:39" s="361" customFormat="1" ht="12.75" customHeight="1">
      <c r="A881" s="1"/>
      <c r="B881" s="1"/>
      <c r="C881" s="2"/>
      <c r="D881" s="1"/>
      <c r="E881" s="363"/>
      <c r="F881" s="354"/>
      <c r="G881" s="354"/>
      <c r="H881" s="354"/>
      <c r="I881" s="354"/>
      <c r="J881" s="354"/>
      <c r="K881" s="354"/>
      <c r="L881" s="354"/>
      <c r="M881" s="354"/>
      <c r="N881" s="354"/>
      <c r="O881" s="354"/>
      <c r="P881" s="354"/>
      <c r="Q881" s="354"/>
      <c r="R881" s="354"/>
      <c r="S881" s="354"/>
      <c r="T881" s="354"/>
      <c r="U881" s="354"/>
      <c r="V881" s="354"/>
      <c r="W881" s="354"/>
      <c r="X881" s="354"/>
      <c r="Y881" s="354"/>
      <c r="Z881" s="354"/>
      <c r="AA881" s="354"/>
      <c r="AB881" s="354"/>
      <c r="AC881" s="354"/>
      <c r="AD881" s="354"/>
      <c r="AE881" s="354"/>
      <c r="AF881" s="354"/>
      <c r="AG881" s="354"/>
      <c r="AH881" s="354"/>
      <c r="AI881" s="354"/>
      <c r="AJ881" s="354"/>
      <c r="AK881" s="354"/>
      <c r="AL881" s="354"/>
      <c r="AM881" s="360"/>
    </row>
    <row r="882" spans="1:39" s="361" customFormat="1" ht="12.75" customHeight="1">
      <c r="A882" s="1"/>
      <c r="B882" s="1"/>
      <c r="C882" s="2"/>
      <c r="D882" s="1"/>
      <c r="E882" s="376" t="str">
        <f>UPPER($Y$28)</f>
        <v>ПТ ЛОМБАРД "МЕРКУРІЙ"</v>
      </c>
      <c r="F882" s="376"/>
      <c r="G882" s="376"/>
      <c r="H882" s="376"/>
      <c r="I882" s="376"/>
      <c r="J882" s="376"/>
      <c r="K882" s="376"/>
      <c r="L882" s="376"/>
      <c r="M882" s="376"/>
      <c r="N882" s="376"/>
      <c r="O882" s="376"/>
      <c r="P882" s="376"/>
      <c r="Q882" s="376"/>
      <c r="R882" s="376"/>
      <c r="S882" s="376"/>
      <c r="T882" s="376"/>
      <c r="U882" s="376"/>
      <c r="V882" s="376"/>
      <c r="W882" s="376"/>
      <c r="X882" s="376"/>
      <c r="Y882" s="376"/>
      <c r="Z882" s="376"/>
      <c r="AA882" s="376"/>
      <c r="AB882" s="376"/>
      <c r="AC882" s="376"/>
      <c r="AD882" s="376"/>
      <c r="AE882" s="376"/>
      <c r="AF882" s="376"/>
      <c r="AG882" s="376"/>
      <c r="AH882" s="376"/>
      <c r="AI882" s="376"/>
      <c r="AJ882" s="376"/>
      <c r="AK882" s="376"/>
      <c r="AL882" s="376"/>
      <c r="AM882" s="376"/>
    </row>
    <row r="883" spans="1:39" s="361" customFormat="1" ht="12.75" customHeight="1">
      <c r="A883" s="1"/>
      <c r="B883" s="1"/>
      <c r="C883" s="2"/>
      <c r="D883" s="1"/>
      <c r="E883" s="265" t="s">
        <v>143</v>
      </c>
      <c r="F883" s="265"/>
      <c r="G883" s="265"/>
      <c r="H883" s="265"/>
      <c r="I883" s="265"/>
      <c r="J883" s="265"/>
      <c r="K883" s="265"/>
      <c r="L883" s="265"/>
      <c r="M883" s="265"/>
      <c r="N883" s="265"/>
      <c r="O883" s="265"/>
      <c r="P883" s="265"/>
      <c r="Q883" s="265"/>
      <c r="R883" s="265"/>
      <c r="S883" s="265"/>
      <c r="T883" s="265"/>
      <c r="U883" s="265"/>
      <c r="V883" s="265"/>
      <c r="W883" s="265"/>
      <c r="X883" s="265"/>
      <c r="Y883" s="265"/>
      <c r="Z883" s="265"/>
      <c r="AA883" s="265"/>
      <c r="AB883" s="265"/>
      <c r="AC883" s="265"/>
      <c r="AD883" s="265"/>
      <c r="AE883" s="265"/>
      <c r="AF883" s="265"/>
      <c r="AG883" s="265"/>
      <c r="AH883" s="265"/>
      <c r="AI883" s="265"/>
      <c r="AJ883" s="265"/>
      <c r="AK883" s="265"/>
      <c r="AL883" s="265"/>
      <c r="AM883" s="265"/>
    </row>
    <row r="884" spans="1:39" s="361" customFormat="1" ht="12.75" customHeight="1">
      <c r="A884" s="1"/>
      <c r="B884" s="1"/>
      <c r="C884" s="2"/>
      <c r="D884" s="1"/>
      <c r="E884" s="265" t="str">
        <f>$E$274</f>
        <v>ЗА РІК, ЩО ЗАКІНЧИВСЯ 31 ГРУДНЯ 2020 РОКУ</v>
      </c>
      <c r="F884" s="265"/>
      <c r="G884" s="265"/>
      <c r="H884" s="265"/>
      <c r="I884" s="265"/>
      <c r="J884" s="265"/>
      <c r="K884" s="265"/>
      <c r="L884" s="265"/>
      <c r="M884" s="265"/>
      <c r="N884" s="265"/>
      <c r="O884" s="265"/>
      <c r="P884" s="265"/>
      <c r="Q884" s="265"/>
      <c r="R884" s="265"/>
      <c r="S884" s="265"/>
      <c r="T884" s="265"/>
      <c r="U884" s="265"/>
      <c r="V884" s="265"/>
      <c r="W884" s="265"/>
      <c r="X884" s="265"/>
      <c r="Y884" s="265"/>
      <c r="Z884" s="265"/>
      <c r="AA884" s="265"/>
      <c r="AB884" s="265"/>
      <c r="AC884" s="265"/>
      <c r="AD884" s="265"/>
      <c r="AE884" s="265"/>
      <c r="AF884" s="265"/>
      <c r="AG884" s="265"/>
      <c r="AH884" s="265"/>
      <c r="AI884" s="265"/>
      <c r="AJ884" s="265"/>
      <c r="AK884" s="265"/>
      <c r="AL884" s="265"/>
      <c r="AM884" s="265"/>
    </row>
    <row r="885" spans="1:39" s="361" customFormat="1" ht="12.75" customHeight="1">
      <c r="A885" s="1"/>
      <c r="B885" s="1"/>
      <c r="C885" s="2"/>
      <c r="D885" s="1"/>
      <c r="E885" s="244" t="str">
        <f>$E$209</f>
        <v>(в тисячах гривень, якщо не вказано інше)</v>
      </c>
      <c r="F885" s="244"/>
      <c r="G885" s="244"/>
      <c r="H885" s="244"/>
      <c r="I885" s="244"/>
      <c r="J885" s="244"/>
      <c r="K885" s="244"/>
      <c r="L885" s="244"/>
      <c r="M885" s="244"/>
      <c r="N885" s="244"/>
      <c r="O885" s="244"/>
      <c r="P885" s="244"/>
      <c r="Q885" s="244"/>
      <c r="R885" s="244"/>
      <c r="S885" s="244"/>
      <c r="T885" s="244"/>
      <c r="U885" s="244"/>
      <c r="V885" s="244"/>
      <c r="W885" s="244"/>
      <c r="X885" s="244"/>
      <c r="Y885" s="244"/>
      <c r="Z885" s="244"/>
      <c r="AA885" s="244"/>
      <c r="AB885" s="244"/>
      <c r="AC885" s="244"/>
      <c r="AD885" s="244"/>
      <c r="AE885" s="244"/>
      <c r="AF885" s="244"/>
      <c r="AG885" s="244"/>
      <c r="AH885" s="244"/>
      <c r="AI885" s="244"/>
      <c r="AJ885" s="244"/>
      <c r="AK885" s="244"/>
      <c r="AL885" s="244"/>
      <c r="AM885" s="244"/>
    </row>
    <row r="886" spans="1:39" s="361" customFormat="1" ht="12.75" customHeight="1">
      <c r="A886" s="1"/>
      <c r="B886" s="1"/>
      <c r="C886" s="2"/>
      <c r="D886" s="1"/>
      <c r="E886" s="363"/>
      <c r="F886" s="354"/>
      <c r="G886" s="354"/>
      <c r="H886" s="354"/>
      <c r="I886" s="354"/>
      <c r="J886" s="354"/>
      <c r="K886" s="354"/>
      <c r="L886" s="354"/>
      <c r="M886" s="354"/>
      <c r="N886" s="354"/>
      <c r="O886" s="354"/>
      <c r="P886" s="354"/>
      <c r="Q886" s="354"/>
      <c r="R886" s="354"/>
      <c r="S886" s="354"/>
      <c r="T886" s="354"/>
      <c r="U886" s="354"/>
      <c r="V886" s="354"/>
      <c r="W886" s="354"/>
      <c r="X886" s="354"/>
      <c r="Y886" s="354"/>
      <c r="Z886" s="354"/>
      <c r="AA886" s="354"/>
      <c r="AB886" s="354"/>
      <c r="AC886" s="354"/>
      <c r="AD886" s="354"/>
      <c r="AE886" s="354"/>
      <c r="AF886" s="354"/>
      <c r="AG886" s="354"/>
      <c r="AH886" s="354"/>
      <c r="AI886" s="354"/>
      <c r="AJ886" s="354"/>
      <c r="AK886" s="354"/>
      <c r="AL886" s="354"/>
      <c r="AM886" s="360"/>
    </row>
    <row r="887" spans="1:39">
      <c r="E887" s="54"/>
    </row>
    <row r="888" spans="1:39" ht="12.75" customHeight="1">
      <c r="D888" s="1">
        <v>10</v>
      </c>
      <c r="E888" s="54"/>
      <c r="F888" s="665" t="s">
        <v>1372</v>
      </c>
      <c r="G888" s="665"/>
      <c r="H888" s="661" t="s">
        <v>226</v>
      </c>
      <c r="I888" s="661"/>
      <c r="J888" s="661"/>
      <c r="K888" s="661"/>
      <c r="L888" s="661"/>
      <c r="M888" s="661"/>
      <c r="N888" s="661"/>
      <c r="O888" s="661"/>
      <c r="P888" s="661"/>
      <c r="Q888" s="661"/>
      <c r="R888" s="661"/>
      <c r="S888" s="661"/>
      <c r="T888" s="661"/>
      <c r="U888" s="661"/>
      <c r="V888" s="661"/>
      <c r="W888" s="661"/>
      <c r="X888" s="661"/>
      <c r="Y888" s="661"/>
      <c r="Z888" s="661"/>
      <c r="AA888" s="661"/>
      <c r="AB888" s="55"/>
      <c r="AC888" s="55"/>
      <c r="AD888" s="55"/>
      <c r="AE888" s="55"/>
      <c r="AF888" s="55"/>
      <c r="AG888" s="55"/>
      <c r="AH888" s="55"/>
      <c r="AI888" s="55"/>
      <c r="AJ888" s="55"/>
      <c r="AK888" s="55"/>
      <c r="AL888" s="55"/>
      <c r="AM888" s="55"/>
    </row>
    <row r="889" spans="1:39" s="231" customFormat="1" ht="12.75" customHeight="1">
      <c r="A889" s="1"/>
      <c r="B889" s="1"/>
      <c r="C889" s="2"/>
      <c r="D889" s="1"/>
      <c r="E889" s="248"/>
      <c r="F889" s="569" t="s">
        <v>1373</v>
      </c>
      <c r="G889" s="569"/>
      <c r="H889" s="569"/>
      <c r="I889" s="569"/>
      <c r="J889" s="569"/>
      <c r="K889" s="569"/>
      <c r="L889" s="569"/>
      <c r="M889" s="569"/>
      <c r="N889" s="569"/>
      <c r="O889" s="569"/>
      <c r="P889" s="569"/>
      <c r="Q889" s="569"/>
      <c r="R889" s="569"/>
      <c r="S889" s="569"/>
      <c r="T889" s="569"/>
      <c r="U889" s="569"/>
      <c r="V889" s="569"/>
      <c r="W889" s="569"/>
      <c r="X889" s="569"/>
      <c r="Y889" s="569"/>
      <c r="Z889" s="569"/>
      <c r="AA889" s="569"/>
      <c r="AB889" s="569"/>
      <c r="AC889" s="569"/>
      <c r="AD889" s="569"/>
      <c r="AE889" s="569"/>
      <c r="AF889" s="569"/>
      <c r="AG889" s="569"/>
      <c r="AH889" s="569"/>
      <c r="AI889" s="569"/>
      <c r="AJ889" s="569"/>
      <c r="AK889" s="569"/>
      <c r="AL889" s="569"/>
      <c r="AM889" s="249"/>
    </row>
    <row r="890" spans="1:39" s="231" customFormat="1">
      <c r="A890" s="1"/>
      <c r="B890" s="1"/>
      <c r="C890" s="2"/>
      <c r="D890" s="1"/>
      <c r="E890" s="248"/>
      <c r="F890" s="569"/>
      <c r="G890" s="569"/>
      <c r="H890" s="569"/>
      <c r="I890" s="569"/>
      <c r="J890" s="569"/>
      <c r="K890" s="569"/>
      <c r="L890" s="569"/>
      <c r="M890" s="569"/>
      <c r="N890" s="569"/>
      <c r="O890" s="569"/>
      <c r="P890" s="569"/>
      <c r="Q890" s="569"/>
      <c r="R890" s="569"/>
      <c r="S890" s="569"/>
      <c r="T890" s="569"/>
      <c r="U890" s="569"/>
      <c r="V890" s="569"/>
      <c r="W890" s="569"/>
      <c r="X890" s="569"/>
      <c r="Y890" s="569"/>
      <c r="Z890" s="569"/>
      <c r="AA890" s="569"/>
      <c r="AB890" s="569"/>
      <c r="AC890" s="569"/>
      <c r="AD890" s="569"/>
      <c r="AE890" s="569"/>
      <c r="AF890" s="569"/>
      <c r="AG890" s="569"/>
      <c r="AH890" s="569"/>
      <c r="AI890" s="569"/>
      <c r="AJ890" s="569"/>
      <c r="AK890" s="569"/>
      <c r="AL890" s="569"/>
      <c r="AM890" s="249"/>
    </row>
    <row r="891" spans="1:39" s="231" customFormat="1">
      <c r="A891" s="1"/>
      <c r="B891" s="1"/>
      <c r="C891" s="2"/>
      <c r="D891" s="1"/>
      <c r="E891" s="248"/>
      <c r="F891" s="569"/>
      <c r="G891" s="569"/>
      <c r="H891" s="569"/>
      <c r="I891" s="569"/>
      <c r="J891" s="569"/>
      <c r="K891" s="569"/>
      <c r="L891" s="569"/>
      <c r="M891" s="569"/>
      <c r="N891" s="569"/>
      <c r="O891" s="569"/>
      <c r="P891" s="569"/>
      <c r="Q891" s="569"/>
      <c r="R891" s="569"/>
      <c r="S891" s="569"/>
      <c r="T891" s="569"/>
      <c r="U891" s="569"/>
      <c r="V891" s="569"/>
      <c r="W891" s="569"/>
      <c r="X891" s="569"/>
      <c r="Y891" s="569"/>
      <c r="Z891" s="569"/>
      <c r="AA891" s="569"/>
      <c r="AB891" s="569"/>
      <c r="AC891" s="569"/>
      <c r="AD891" s="569"/>
      <c r="AE891" s="569"/>
      <c r="AF891" s="569"/>
      <c r="AG891" s="569"/>
      <c r="AH891" s="569"/>
      <c r="AI891" s="569"/>
      <c r="AJ891" s="569"/>
      <c r="AK891" s="569"/>
      <c r="AL891" s="569"/>
      <c r="AM891" s="249"/>
    </row>
    <row r="892" spans="1:39" s="231" customFormat="1" ht="12.75" customHeight="1">
      <c r="A892" s="1"/>
      <c r="B892" s="1"/>
      <c r="C892" s="2"/>
      <c r="D892" s="1"/>
      <c r="E892" s="248"/>
      <c r="F892" s="569"/>
      <c r="G892" s="569"/>
      <c r="H892" s="569"/>
      <c r="I892" s="569"/>
      <c r="J892" s="569"/>
      <c r="K892" s="569"/>
      <c r="L892" s="569"/>
      <c r="M892" s="569"/>
      <c r="N892" s="569"/>
      <c r="O892" s="569"/>
      <c r="P892" s="569"/>
      <c r="Q892" s="569"/>
      <c r="R892" s="569"/>
      <c r="S892" s="569"/>
      <c r="T892" s="569"/>
      <c r="U892" s="569"/>
      <c r="V892" s="569"/>
      <c r="W892" s="569"/>
      <c r="X892" s="569"/>
      <c r="Y892" s="569"/>
      <c r="Z892" s="569"/>
      <c r="AA892" s="569"/>
      <c r="AB892" s="569"/>
      <c r="AC892" s="569"/>
      <c r="AD892" s="569"/>
      <c r="AE892" s="569"/>
      <c r="AF892" s="569"/>
      <c r="AG892" s="569"/>
      <c r="AH892" s="569"/>
      <c r="AI892" s="569"/>
      <c r="AJ892" s="569"/>
      <c r="AK892" s="569"/>
      <c r="AL892" s="569"/>
      <c r="AM892" s="249"/>
    </row>
    <row r="893" spans="1:39" s="231" customFormat="1" ht="27" customHeight="1">
      <c r="A893" s="1"/>
      <c r="B893" s="1"/>
      <c r="C893" s="2"/>
      <c r="D893" s="1"/>
      <c r="E893" s="248"/>
      <c r="F893" s="569"/>
      <c r="G893" s="569"/>
      <c r="H893" s="569"/>
      <c r="I893" s="569"/>
      <c r="J893" s="569"/>
      <c r="K893" s="569"/>
      <c r="L893" s="569"/>
      <c r="M893" s="569"/>
      <c r="N893" s="569"/>
      <c r="O893" s="569"/>
      <c r="P893" s="569"/>
      <c r="Q893" s="569"/>
      <c r="R893" s="569"/>
      <c r="S893" s="569"/>
      <c r="T893" s="569"/>
      <c r="U893" s="569"/>
      <c r="V893" s="569"/>
      <c r="W893" s="569"/>
      <c r="X893" s="569"/>
      <c r="Y893" s="569"/>
      <c r="Z893" s="569"/>
      <c r="AA893" s="569"/>
      <c r="AB893" s="569"/>
      <c r="AC893" s="569"/>
      <c r="AD893" s="569"/>
      <c r="AE893" s="569"/>
      <c r="AF893" s="569"/>
      <c r="AG893" s="569"/>
      <c r="AH893" s="569"/>
      <c r="AI893" s="569"/>
      <c r="AJ893" s="569"/>
      <c r="AK893" s="569"/>
      <c r="AL893" s="569"/>
      <c r="AM893" s="249"/>
    </row>
    <row r="894" spans="1:39" s="231" customFormat="1" ht="14.1" customHeight="1">
      <c r="A894" s="1"/>
      <c r="B894" s="1"/>
      <c r="C894" s="2"/>
      <c r="D894" s="1"/>
      <c r="E894" s="248"/>
      <c r="F894" s="569" t="s">
        <v>1374</v>
      </c>
      <c r="G894" s="569"/>
      <c r="H894" s="569"/>
      <c r="I894" s="569"/>
      <c r="J894" s="569"/>
      <c r="K894" s="569"/>
      <c r="L894" s="569"/>
      <c r="M894" s="569"/>
      <c r="N894" s="569"/>
      <c r="O894" s="569"/>
      <c r="P894" s="569"/>
      <c r="Q894" s="569"/>
      <c r="R894" s="569"/>
      <c r="S894" s="569"/>
      <c r="T894" s="569"/>
      <c r="U894" s="569"/>
      <c r="V894" s="569"/>
      <c r="W894" s="569"/>
      <c r="X894" s="569"/>
      <c r="Y894" s="569"/>
      <c r="Z894" s="569"/>
      <c r="AA894" s="569"/>
      <c r="AB894" s="569"/>
      <c r="AC894" s="569"/>
      <c r="AD894" s="569"/>
      <c r="AE894" s="569"/>
      <c r="AF894" s="569"/>
      <c r="AG894" s="569"/>
      <c r="AH894" s="569"/>
      <c r="AI894" s="569"/>
      <c r="AJ894" s="569"/>
      <c r="AK894" s="569"/>
      <c r="AL894" s="569"/>
      <c r="AM894" s="249"/>
    </row>
    <row r="895" spans="1:39" s="231" customFormat="1" ht="12.75" customHeight="1">
      <c r="A895" s="1"/>
      <c r="B895" s="1"/>
      <c r="C895" s="2"/>
      <c r="D895" s="1">
        <v>11</v>
      </c>
      <c r="E895" s="248"/>
      <c r="F895" s="569"/>
      <c r="G895" s="569"/>
      <c r="H895" s="569"/>
      <c r="I895" s="569"/>
      <c r="J895" s="569"/>
      <c r="K895" s="569"/>
      <c r="L895" s="569"/>
      <c r="M895" s="569"/>
      <c r="N895" s="569"/>
      <c r="O895" s="569"/>
      <c r="P895" s="569"/>
      <c r="Q895" s="569"/>
      <c r="R895" s="569"/>
      <c r="S895" s="569"/>
      <c r="T895" s="569"/>
      <c r="U895" s="569"/>
      <c r="V895" s="569"/>
      <c r="W895" s="569"/>
      <c r="X895" s="569"/>
      <c r="Y895" s="569"/>
      <c r="Z895" s="569"/>
      <c r="AA895" s="569"/>
      <c r="AB895" s="569"/>
      <c r="AC895" s="569"/>
      <c r="AD895" s="569"/>
      <c r="AE895" s="569"/>
      <c r="AF895" s="569"/>
      <c r="AG895" s="569"/>
      <c r="AH895" s="569"/>
      <c r="AI895" s="569"/>
      <c r="AJ895" s="569"/>
      <c r="AK895" s="569"/>
      <c r="AL895" s="569"/>
      <c r="AM895" s="249"/>
    </row>
    <row r="896" spans="1:39" s="231" customFormat="1" ht="12.75" customHeight="1">
      <c r="A896" s="1"/>
      <c r="B896" s="1"/>
      <c r="C896" s="2"/>
      <c r="D896" s="1"/>
      <c r="E896" s="248"/>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69"/>
      <c r="AB896" s="569"/>
      <c r="AC896" s="569"/>
      <c r="AD896" s="569"/>
      <c r="AE896" s="569"/>
      <c r="AF896" s="569"/>
      <c r="AG896" s="569"/>
      <c r="AH896" s="569"/>
      <c r="AI896" s="569"/>
      <c r="AJ896" s="569"/>
      <c r="AK896" s="569"/>
      <c r="AL896" s="569"/>
      <c r="AM896" s="249"/>
    </row>
    <row r="897" spans="1:39" s="231" customFormat="1">
      <c r="A897" s="1"/>
      <c r="B897" s="1"/>
      <c r="C897" s="2"/>
      <c r="D897" s="1"/>
      <c r="E897" s="248"/>
      <c r="F897" s="569"/>
      <c r="G897" s="569"/>
      <c r="H897" s="569"/>
      <c r="I897" s="569"/>
      <c r="J897" s="569"/>
      <c r="K897" s="569"/>
      <c r="L897" s="569"/>
      <c r="M897" s="569"/>
      <c r="N897" s="569"/>
      <c r="O897" s="569"/>
      <c r="P897" s="569"/>
      <c r="Q897" s="569"/>
      <c r="R897" s="569"/>
      <c r="S897" s="569"/>
      <c r="T897" s="569"/>
      <c r="U897" s="569"/>
      <c r="V897" s="569"/>
      <c r="W897" s="569"/>
      <c r="X897" s="569"/>
      <c r="Y897" s="569"/>
      <c r="Z897" s="569"/>
      <c r="AA897" s="569"/>
      <c r="AB897" s="569"/>
      <c r="AC897" s="569"/>
      <c r="AD897" s="569"/>
      <c r="AE897" s="569"/>
      <c r="AF897" s="569"/>
      <c r="AG897" s="569"/>
      <c r="AH897" s="569"/>
      <c r="AI897" s="569"/>
      <c r="AJ897" s="569"/>
      <c r="AK897" s="569"/>
      <c r="AL897" s="569"/>
      <c r="AM897" s="249"/>
    </row>
    <row r="898" spans="1:39" s="231" customFormat="1">
      <c r="A898" s="1"/>
      <c r="B898" s="1"/>
      <c r="C898" s="2"/>
      <c r="D898" s="1"/>
      <c r="E898" s="248"/>
      <c r="F898" s="569"/>
      <c r="G898" s="569"/>
      <c r="H898" s="569"/>
      <c r="I898" s="569"/>
      <c r="J898" s="569"/>
      <c r="K898" s="569"/>
      <c r="L898" s="569"/>
      <c r="M898" s="569"/>
      <c r="N898" s="569"/>
      <c r="O898" s="569"/>
      <c r="P898" s="569"/>
      <c r="Q898" s="569"/>
      <c r="R898" s="569"/>
      <c r="S898" s="569"/>
      <c r="T898" s="569"/>
      <c r="U898" s="569"/>
      <c r="V898" s="569"/>
      <c r="W898" s="569"/>
      <c r="X898" s="569"/>
      <c r="Y898" s="569"/>
      <c r="Z898" s="569"/>
      <c r="AA898" s="569"/>
      <c r="AB898" s="569"/>
      <c r="AC898" s="569"/>
      <c r="AD898" s="569"/>
      <c r="AE898" s="569"/>
      <c r="AF898" s="569"/>
      <c r="AG898" s="569"/>
      <c r="AH898" s="569"/>
      <c r="AI898" s="569"/>
      <c r="AJ898" s="569"/>
      <c r="AK898" s="569"/>
      <c r="AL898" s="569"/>
      <c r="AM898" s="249"/>
    </row>
    <row r="899" spans="1:39" s="231" customFormat="1">
      <c r="A899" s="1"/>
      <c r="B899" s="1"/>
      <c r="C899" s="2"/>
      <c r="D899" s="1"/>
      <c r="E899" s="248"/>
      <c r="F899" s="569"/>
      <c r="G899" s="569"/>
      <c r="H899" s="569"/>
      <c r="I899" s="569"/>
      <c r="J899" s="569"/>
      <c r="K899" s="569"/>
      <c r="L899" s="569"/>
      <c r="M899" s="569"/>
      <c r="N899" s="569"/>
      <c r="O899" s="569"/>
      <c r="P899" s="569"/>
      <c r="Q899" s="569"/>
      <c r="R899" s="569"/>
      <c r="S899" s="569"/>
      <c r="T899" s="569"/>
      <c r="U899" s="569"/>
      <c r="V899" s="569"/>
      <c r="W899" s="569"/>
      <c r="X899" s="569"/>
      <c r="Y899" s="569"/>
      <c r="Z899" s="569"/>
      <c r="AA899" s="569"/>
      <c r="AB899" s="569"/>
      <c r="AC899" s="569"/>
      <c r="AD899" s="569"/>
      <c r="AE899" s="569"/>
      <c r="AF899" s="569"/>
      <c r="AG899" s="569"/>
      <c r="AH899" s="569"/>
      <c r="AI899" s="569"/>
      <c r="AJ899" s="569"/>
      <c r="AK899" s="569"/>
      <c r="AL899" s="569"/>
      <c r="AM899" s="249"/>
    </row>
    <row r="900" spans="1:39" s="231" customFormat="1" ht="21.95" customHeight="1">
      <c r="A900" s="1"/>
      <c r="B900" s="1"/>
      <c r="C900" s="2"/>
      <c r="D900" s="1"/>
      <c r="E900" s="248"/>
      <c r="F900" s="569"/>
      <c r="G900" s="569"/>
      <c r="H900" s="569"/>
      <c r="I900" s="569"/>
      <c r="J900" s="569"/>
      <c r="K900" s="569"/>
      <c r="L900" s="569"/>
      <c r="M900" s="569"/>
      <c r="N900" s="569"/>
      <c r="O900" s="569"/>
      <c r="P900" s="569"/>
      <c r="Q900" s="569"/>
      <c r="R900" s="569"/>
      <c r="S900" s="569"/>
      <c r="T900" s="569"/>
      <c r="U900" s="569"/>
      <c r="V900" s="569"/>
      <c r="W900" s="569"/>
      <c r="X900" s="569"/>
      <c r="Y900" s="569"/>
      <c r="Z900" s="569"/>
      <c r="AA900" s="569"/>
      <c r="AB900" s="569"/>
      <c r="AC900" s="569"/>
      <c r="AD900" s="569"/>
      <c r="AE900" s="569"/>
      <c r="AF900" s="569"/>
      <c r="AG900" s="569"/>
      <c r="AH900" s="569"/>
      <c r="AI900" s="569"/>
      <c r="AJ900" s="569"/>
      <c r="AK900" s="569"/>
      <c r="AL900" s="569"/>
      <c r="AM900" s="249"/>
    </row>
    <row r="902" spans="1:39" ht="14.1" customHeight="1">
      <c r="F902" s="569" t="s">
        <v>1375</v>
      </c>
      <c r="G902" s="569"/>
      <c r="H902" s="569"/>
      <c r="I902" s="569"/>
      <c r="J902" s="569"/>
      <c r="K902" s="569"/>
      <c r="L902" s="569"/>
      <c r="M902" s="569"/>
      <c r="N902" s="569"/>
      <c r="O902" s="569"/>
      <c r="P902" s="569"/>
      <c r="Q902" s="569"/>
      <c r="R902" s="569"/>
      <c r="S902" s="569"/>
      <c r="T902" s="569"/>
      <c r="U902" s="569"/>
      <c r="V902" s="569"/>
      <c r="W902" s="569"/>
      <c r="X902" s="569"/>
      <c r="Y902" s="569"/>
      <c r="Z902" s="569"/>
      <c r="AA902" s="569"/>
      <c r="AB902" s="569"/>
      <c r="AC902" s="569"/>
      <c r="AD902" s="569"/>
      <c r="AE902" s="569"/>
      <c r="AF902" s="569"/>
      <c r="AG902" s="569"/>
      <c r="AH902" s="569"/>
      <c r="AI902" s="569"/>
      <c r="AJ902" s="569"/>
      <c r="AK902" s="569"/>
      <c r="AL902" s="569"/>
      <c r="AM902" s="249"/>
    </row>
    <row r="903" spans="1:39">
      <c r="F903" s="569"/>
      <c r="G903" s="569"/>
      <c r="H903" s="569"/>
      <c r="I903" s="569"/>
      <c r="J903" s="569"/>
      <c r="K903" s="569"/>
      <c r="L903" s="569"/>
      <c r="M903" s="569"/>
      <c r="N903" s="569"/>
      <c r="O903" s="569"/>
      <c r="P903" s="569"/>
      <c r="Q903" s="569"/>
      <c r="R903" s="569"/>
      <c r="S903" s="569"/>
      <c r="T903" s="569"/>
      <c r="U903" s="569"/>
      <c r="V903" s="569"/>
      <c r="W903" s="569"/>
      <c r="X903" s="569"/>
      <c r="Y903" s="569"/>
      <c r="Z903" s="569"/>
      <c r="AA903" s="569"/>
      <c r="AB903" s="569"/>
      <c r="AC903" s="569"/>
      <c r="AD903" s="569"/>
      <c r="AE903" s="569"/>
      <c r="AF903" s="569"/>
      <c r="AG903" s="569"/>
      <c r="AH903" s="569"/>
      <c r="AI903" s="569"/>
      <c r="AJ903" s="569"/>
      <c r="AK903" s="569"/>
      <c r="AL903" s="569"/>
      <c r="AM903" s="249"/>
    </row>
    <row r="904" spans="1:3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69"/>
      <c r="AB904" s="569"/>
      <c r="AC904" s="569"/>
      <c r="AD904" s="569"/>
      <c r="AE904" s="569"/>
      <c r="AF904" s="569"/>
      <c r="AG904" s="569"/>
      <c r="AH904" s="569"/>
      <c r="AI904" s="569"/>
      <c r="AJ904" s="569"/>
      <c r="AK904" s="569"/>
      <c r="AL904" s="569"/>
      <c r="AM904" s="249"/>
    </row>
    <row r="905" spans="1:39" ht="9.75" customHeight="1">
      <c r="E905" s="54"/>
      <c r="F905" s="569"/>
      <c r="G905" s="569"/>
      <c r="H905" s="569"/>
      <c r="I905" s="569"/>
      <c r="J905" s="569"/>
      <c r="K905" s="569"/>
      <c r="L905" s="569"/>
      <c r="M905" s="569"/>
      <c r="N905" s="569"/>
      <c r="O905" s="569"/>
      <c r="P905" s="569"/>
      <c r="Q905" s="569"/>
      <c r="R905" s="569"/>
      <c r="S905" s="569"/>
      <c r="T905" s="569"/>
      <c r="U905" s="569"/>
      <c r="V905" s="569"/>
      <c r="W905" s="569"/>
      <c r="X905" s="569"/>
      <c r="Y905" s="569"/>
      <c r="Z905" s="569"/>
      <c r="AA905" s="569"/>
      <c r="AB905" s="569"/>
      <c r="AC905" s="569"/>
      <c r="AD905" s="569"/>
      <c r="AE905" s="569"/>
      <c r="AF905" s="569"/>
      <c r="AG905" s="569"/>
      <c r="AH905" s="569"/>
      <c r="AI905" s="569"/>
      <c r="AJ905" s="569"/>
      <c r="AK905" s="569"/>
      <c r="AL905" s="569"/>
      <c r="AM905" s="249"/>
    </row>
    <row r="906" spans="1:39" ht="12.75" customHeight="1">
      <c r="D906" s="1">
        <v>13</v>
      </c>
      <c r="E906" s="54"/>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569"/>
      <c r="AG906" s="569"/>
      <c r="AH906" s="569"/>
      <c r="AI906" s="569"/>
      <c r="AJ906" s="569"/>
      <c r="AK906" s="569"/>
      <c r="AL906" s="569"/>
      <c r="AM906" s="249"/>
    </row>
    <row r="907" spans="1:39">
      <c r="E907" s="54"/>
      <c r="F907" s="569"/>
      <c r="G907" s="569"/>
      <c r="H907" s="569"/>
      <c r="I907" s="569"/>
      <c r="J907" s="569"/>
      <c r="K907" s="569"/>
      <c r="L907" s="569"/>
      <c r="M907" s="569"/>
      <c r="N907" s="569"/>
      <c r="O907" s="569"/>
      <c r="P907" s="569"/>
      <c r="Q907" s="569"/>
      <c r="R907" s="569"/>
      <c r="S907" s="569"/>
      <c r="T907" s="569"/>
      <c r="U907" s="569"/>
      <c r="V907" s="569"/>
      <c r="W907" s="569"/>
      <c r="X907" s="569"/>
      <c r="Y907" s="569"/>
      <c r="Z907" s="569"/>
      <c r="AA907" s="569"/>
      <c r="AB907" s="569"/>
      <c r="AC907" s="569"/>
      <c r="AD907" s="569"/>
      <c r="AE907" s="569"/>
      <c r="AF907" s="569"/>
      <c r="AG907" s="569"/>
      <c r="AH907" s="569"/>
      <c r="AI907" s="569"/>
      <c r="AJ907" s="569"/>
      <c r="AK907" s="569"/>
      <c r="AL907" s="569"/>
      <c r="AM907" s="249"/>
    </row>
    <row r="908" spans="1:39" ht="10.5" customHeight="1">
      <c r="E908" s="54"/>
      <c r="F908" s="569"/>
      <c r="G908" s="569"/>
      <c r="H908" s="569"/>
      <c r="I908" s="569"/>
      <c r="J908" s="569"/>
      <c r="K908" s="569"/>
      <c r="L908" s="569"/>
      <c r="M908" s="569"/>
      <c r="N908" s="569"/>
      <c r="O908" s="569"/>
      <c r="P908" s="569"/>
      <c r="Q908" s="569"/>
      <c r="R908" s="569"/>
      <c r="S908" s="569"/>
      <c r="T908" s="569"/>
      <c r="U908" s="569"/>
      <c r="V908" s="569"/>
      <c r="W908" s="569"/>
      <c r="X908" s="569"/>
      <c r="Y908" s="569"/>
      <c r="Z908" s="569"/>
      <c r="AA908" s="569"/>
      <c r="AB908" s="569"/>
      <c r="AC908" s="569"/>
      <c r="AD908" s="569"/>
      <c r="AE908" s="569"/>
      <c r="AF908" s="569"/>
      <c r="AG908" s="569"/>
      <c r="AH908" s="569"/>
      <c r="AI908" s="569"/>
      <c r="AJ908" s="569"/>
      <c r="AK908" s="569"/>
      <c r="AL908" s="569"/>
      <c r="AM908" s="249"/>
    </row>
    <row r="909" spans="1:39">
      <c r="E909" s="54"/>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row>
    <row r="910" spans="1:39" ht="14.1" customHeight="1">
      <c r="E910" s="54"/>
      <c r="F910" s="33" t="s">
        <v>1431</v>
      </c>
      <c r="G910" s="613" t="s">
        <v>1432</v>
      </c>
      <c r="H910" s="613"/>
      <c r="I910" s="613"/>
      <c r="J910" s="613"/>
      <c r="K910" s="613"/>
      <c r="L910" s="613"/>
      <c r="M910" s="613"/>
      <c r="N910" s="613"/>
      <c r="O910" s="613"/>
      <c r="P910" s="613"/>
      <c r="Q910" s="613"/>
      <c r="R910" s="613"/>
      <c r="S910" s="613"/>
      <c r="T910" s="613"/>
      <c r="U910" s="613"/>
      <c r="V910" s="613"/>
      <c r="W910" s="613"/>
      <c r="X910" s="613"/>
      <c r="Y910" s="613"/>
      <c r="Z910" s="613"/>
      <c r="AA910" s="613"/>
      <c r="AB910" s="613"/>
      <c r="AC910" s="613"/>
      <c r="AD910" s="613"/>
      <c r="AE910" s="613"/>
      <c r="AF910" s="613"/>
      <c r="AG910" s="613"/>
      <c r="AH910" s="613"/>
      <c r="AI910" s="613"/>
      <c r="AJ910" s="33"/>
      <c r="AK910" s="33"/>
      <c r="AL910" s="33"/>
      <c r="AM910" s="33"/>
    </row>
    <row r="911" spans="1:39" ht="14.1" customHeight="1">
      <c r="E911" s="54"/>
      <c r="F911" s="569" t="s">
        <v>1376</v>
      </c>
      <c r="G911" s="569"/>
      <c r="H911" s="569"/>
      <c r="I911" s="569"/>
      <c r="J911" s="569"/>
      <c r="K911" s="569"/>
      <c r="L911" s="569"/>
      <c r="M911" s="569"/>
      <c r="N911" s="569"/>
      <c r="O911" s="569"/>
      <c r="P911" s="569"/>
      <c r="Q911" s="569"/>
      <c r="R911" s="569"/>
      <c r="S911" s="569"/>
      <c r="T911" s="569"/>
      <c r="U911" s="569"/>
      <c r="V911" s="569"/>
      <c r="W911" s="569"/>
      <c r="X911" s="569"/>
      <c r="Y911" s="569"/>
      <c r="Z911" s="569"/>
      <c r="AA911" s="569"/>
      <c r="AB911" s="569"/>
      <c r="AC911" s="569"/>
      <c r="AD911" s="569"/>
      <c r="AE911" s="569"/>
      <c r="AF911" s="569"/>
      <c r="AG911" s="569"/>
      <c r="AH911" s="569"/>
      <c r="AI911" s="569"/>
      <c r="AJ911" s="569"/>
      <c r="AK911" s="569"/>
      <c r="AL911" s="249"/>
      <c r="AM911" s="249"/>
    </row>
    <row r="912" spans="1:39" ht="12.75" customHeight="1">
      <c r="E912" s="54"/>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69"/>
      <c r="AB912" s="569"/>
      <c r="AC912" s="569"/>
      <c r="AD912" s="569"/>
      <c r="AE912" s="569"/>
      <c r="AF912" s="569"/>
      <c r="AG912" s="569"/>
      <c r="AH912" s="569"/>
      <c r="AI912" s="569"/>
      <c r="AJ912" s="569"/>
      <c r="AK912" s="569"/>
      <c r="AL912" s="249"/>
      <c r="AM912" s="249"/>
    </row>
    <row r="913" spans="1:39">
      <c r="E913" s="54"/>
      <c r="F913" s="569"/>
      <c r="G913" s="569"/>
      <c r="H913" s="569"/>
      <c r="I913" s="569"/>
      <c r="J913" s="569"/>
      <c r="K913" s="569"/>
      <c r="L913" s="569"/>
      <c r="M913" s="569"/>
      <c r="N913" s="569"/>
      <c r="O913" s="569"/>
      <c r="P913" s="569"/>
      <c r="Q913" s="569"/>
      <c r="R913" s="569"/>
      <c r="S913" s="569"/>
      <c r="T913" s="569"/>
      <c r="U913" s="569"/>
      <c r="V913" s="569"/>
      <c r="W913" s="569"/>
      <c r="X913" s="569"/>
      <c r="Y913" s="569"/>
      <c r="Z913" s="569"/>
      <c r="AA913" s="569"/>
      <c r="AB913" s="569"/>
      <c r="AC913" s="569"/>
      <c r="AD913" s="569"/>
      <c r="AE913" s="569"/>
      <c r="AF913" s="569"/>
      <c r="AG913" s="569"/>
      <c r="AH913" s="569"/>
      <c r="AI913" s="569"/>
      <c r="AJ913" s="569"/>
      <c r="AK913" s="569"/>
      <c r="AL913" s="249"/>
      <c r="AM913" s="249"/>
    </row>
    <row r="914" spans="1:39">
      <c r="E914" s="54"/>
      <c r="F914" s="569"/>
      <c r="G914" s="569"/>
      <c r="H914" s="569"/>
      <c r="I914" s="569"/>
      <c r="J914" s="569"/>
      <c r="K914" s="569"/>
      <c r="L914" s="569"/>
      <c r="M914" s="569"/>
      <c r="N914" s="569"/>
      <c r="O914" s="569"/>
      <c r="P914" s="569"/>
      <c r="Q914" s="569"/>
      <c r="R914" s="569"/>
      <c r="S914" s="569"/>
      <c r="T914" s="569"/>
      <c r="U914" s="569"/>
      <c r="V914" s="569"/>
      <c r="W914" s="569"/>
      <c r="X914" s="569"/>
      <c r="Y914" s="569"/>
      <c r="Z914" s="569"/>
      <c r="AA914" s="569"/>
      <c r="AB914" s="569"/>
      <c r="AC914" s="569"/>
      <c r="AD914" s="569"/>
      <c r="AE914" s="569"/>
      <c r="AF914" s="569"/>
      <c r="AG914" s="569"/>
      <c r="AH914" s="569"/>
      <c r="AI914" s="569"/>
      <c r="AJ914" s="569"/>
      <c r="AK914" s="569"/>
      <c r="AL914" s="249"/>
      <c r="AM914" s="249"/>
    </row>
    <row r="915" spans="1:39" ht="27.75" customHeight="1">
      <c r="E915" s="54"/>
      <c r="F915" s="569"/>
      <c r="G915" s="569"/>
      <c r="H915" s="569"/>
      <c r="I915" s="569"/>
      <c r="J915" s="569"/>
      <c r="K915" s="569"/>
      <c r="L915" s="569"/>
      <c r="M915" s="569"/>
      <c r="N915" s="569"/>
      <c r="O915" s="569"/>
      <c r="P915" s="569"/>
      <c r="Q915" s="569"/>
      <c r="R915" s="569"/>
      <c r="S915" s="569"/>
      <c r="T915" s="569"/>
      <c r="U915" s="569"/>
      <c r="V915" s="569"/>
      <c r="W915" s="569"/>
      <c r="X915" s="569"/>
      <c r="Y915" s="569"/>
      <c r="Z915" s="569"/>
      <c r="AA915" s="569"/>
      <c r="AB915" s="569"/>
      <c r="AC915" s="569"/>
      <c r="AD915" s="569"/>
      <c r="AE915" s="569"/>
      <c r="AF915" s="569"/>
      <c r="AG915" s="569"/>
      <c r="AH915" s="569"/>
      <c r="AI915" s="569"/>
      <c r="AJ915" s="569"/>
      <c r="AK915" s="569"/>
      <c r="AL915" s="249"/>
      <c r="AM915" s="249"/>
    </row>
    <row r="916" spans="1:39" s="231" customFormat="1" ht="27.75" customHeight="1">
      <c r="A916" s="1"/>
      <c r="B916" s="1"/>
      <c r="C916" s="2"/>
      <c r="D916" s="1"/>
      <c r="E916" s="249"/>
      <c r="F916" s="569"/>
      <c r="G916" s="569"/>
      <c r="H916" s="569"/>
      <c r="I916" s="569"/>
      <c r="J916" s="569"/>
      <c r="K916" s="569"/>
      <c r="L916" s="569"/>
      <c r="M916" s="569"/>
      <c r="N916" s="569"/>
      <c r="O916" s="569"/>
      <c r="P916" s="569"/>
      <c r="Q916" s="569"/>
      <c r="R916" s="569"/>
      <c r="S916" s="569"/>
      <c r="T916" s="569"/>
      <c r="U916" s="569"/>
      <c r="V916" s="569"/>
      <c r="W916" s="569"/>
      <c r="X916" s="569"/>
      <c r="Y916" s="569"/>
      <c r="Z916" s="569"/>
      <c r="AA916" s="569"/>
      <c r="AB916" s="569"/>
      <c r="AC916" s="569"/>
      <c r="AD916" s="569"/>
      <c r="AE916" s="569"/>
      <c r="AF916" s="569"/>
      <c r="AG916" s="569"/>
      <c r="AH916" s="569"/>
      <c r="AI916" s="569"/>
      <c r="AJ916" s="569"/>
      <c r="AK916" s="569"/>
      <c r="AL916" s="249"/>
    </row>
    <row r="917" spans="1:39" s="361" customFormat="1" ht="12.75" customHeight="1">
      <c r="A917" s="1"/>
      <c r="B917" s="1"/>
      <c r="C917" s="2"/>
      <c r="D917" s="1"/>
      <c r="E917" s="360"/>
      <c r="F917" s="354"/>
      <c r="G917" s="354"/>
      <c r="H917" s="354"/>
      <c r="I917" s="354"/>
      <c r="J917" s="354"/>
      <c r="K917" s="354"/>
      <c r="L917" s="354"/>
      <c r="M917" s="354"/>
      <c r="N917" s="354"/>
      <c r="O917" s="354"/>
      <c r="P917" s="354"/>
      <c r="Q917" s="354"/>
      <c r="R917" s="354"/>
      <c r="S917" s="354"/>
      <c r="T917" s="354"/>
      <c r="U917" s="354"/>
      <c r="V917" s="354"/>
      <c r="W917" s="354"/>
      <c r="X917" s="354"/>
      <c r="Y917" s="354"/>
      <c r="Z917" s="354"/>
      <c r="AA917" s="354"/>
      <c r="AB917" s="354"/>
      <c r="AC917" s="354"/>
      <c r="AD917" s="354"/>
      <c r="AE917" s="354"/>
      <c r="AF917" s="354"/>
      <c r="AG917" s="354"/>
      <c r="AH917" s="354"/>
      <c r="AI917" s="354"/>
      <c r="AJ917" s="374"/>
      <c r="AK917" s="374"/>
      <c r="AL917" s="375"/>
      <c r="AM917" s="362"/>
    </row>
    <row r="918" spans="1:39" s="104" customFormat="1" ht="14.1" customHeight="1">
      <c r="A918" s="1"/>
      <c r="B918" s="1"/>
      <c r="C918" s="2"/>
      <c r="D918" s="1"/>
      <c r="E918" s="248"/>
      <c r="F918" s="33" t="s">
        <v>1433</v>
      </c>
      <c r="G918" s="613" t="s">
        <v>1434</v>
      </c>
      <c r="H918" s="613"/>
      <c r="I918" s="613"/>
      <c r="J918" s="613"/>
      <c r="K918" s="613"/>
      <c r="L918" s="613"/>
      <c r="M918" s="613"/>
      <c r="N918" s="613"/>
      <c r="O918" s="613"/>
      <c r="P918" s="613"/>
      <c r="Q918" s="613"/>
      <c r="R918" s="613"/>
      <c r="S918" s="613"/>
      <c r="T918" s="613"/>
      <c r="U918" s="613"/>
      <c r="V918" s="613"/>
      <c r="W918" s="613"/>
      <c r="X918" s="613"/>
      <c r="Y918" s="613"/>
      <c r="Z918" s="613"/>
      <c r="AA918" s="613"/>
      <c r="AB918" s="613"/>
      <c r="AC918" s="613"/>
      <c r="AD918" s="613"/>
      <c r="AE918" s="613"/>
      <c r="AF918" s="33"/>
      <c r="AG918" s="33"/>
      <c r="AH918" s="33"/>
      <c r="AI918" s="33"/>
      <c r="AJ918" s="33"/>
      <c r="AK918" s="33"/>
      <c r="AL918" s="33"/>
      <c r="AM918" s="33"/>
    </row>
    <row r="919" spans="1:39" s="104" customFormat="1" ht="11.1" customHeight="1">
      <c r="A919" s="1"/>
      <c r="B919" s="1"/>
      <c r="C919" s="2"/>
      <c r="D919" s="1"/>
      <c r="E919" s="248"/>
      <c r="F919" s="225"/>
      <c r="G919" s="225"/>
      <c r="H919" s="225"/>
      <c r="I919" s="225"/>
      <c r="J919" s="225"/>
      <c r="K919" s="225"/>
      <c r="L919" s="225"/>
      <c r="M919" s="225"/>
      <c r="N919" s="225"/>
      <c r="O919" s="225"/>
      <c r="P919" s="225"/>
      <c r="Q919" s="225"/>
      <c r="R919" s="225"/>
      <c r="S919" s="225"/>
      <c r="T919" s="225"/>
      <c r="U919" s="225"/>
      <c r="V919" s="225"/>
      <c r="W919" s="225"/>
      <c r="X919" s="225"/>
      <c r="Y919" s="225"/>
      <c r="Z919" s="225"/>
      <c r="AA919" s="225"/>
      <c r="AB919" s="225"/>
      <c r="AC919" s="225"/>
      <c r="AD919" s="225"/>
      <c r="AE919" s="225"/>
      <c r="AF919" s="225"/>
      <c r="AG919" s="225"/>
      <c r="AH919" s="225"/>
      <c r="AI919" s="225"/>
      <c r="AJ919" s="225"/>
      <c r="AK919" s="225"/>
      <c r="AL919" s="225"/>
      <c r="AM919" s="225"/>
    </row>
    <row r="920" spans="1:39" s="104" customFormat="1" ht="27.75" customHeight="1">
      <c r="A920" s="1"/>
      <c r="B920" s="1"/>
      <c r="C920" s="2"/>
      <c r="D920" s="1"/>
      <c r="E920" s="248"/>
      <c r="F920" s="569" t="s">
        <v>1377</v>
      </c>
      <c r="G920" s="569"/>
      <c r="H920" s="569"/>
      <c r="I920" s="569"/>
      <c r="J920" s="569"/>
      <c r="K920" s="569"/>
      <c r="L920" s="569"/>
      <c r="M920" s="569"/>
      <c r="N920" s="569"/>
      <c r="O920" s="569"/>
      <c r="P920" s="569"/>
      <c r="Q920" s="569"/>
      <c r="R920" s="569"/>
      <c r="S920" s="569"/>
      <c r="T920" s="569"/>
      <c r="U920" s="569"/>
      <c r="V920" s="569"/>
      <c r="W920" s="569"/>
      <c r="X920" s="569"/>
      <c r="Y920" s="569"/>
      <c r="Z920" s="569"/>
      <c r="AA920" s="569"/>
      <c r="AB920" s="569"/>
      <c r="AC920" s="569"/>
      <c r="AD920" s="569"/>
      <c r="AE920" s="569"/>
      <c r="AF920" s="569"/>
      <c r="AG920" s="569"/>
      <c r="AH920" s="569"/>
      <c r="AI920" s="569"/>
      <c r="AJ920" s="569"/>
      <c r="AK920" s="569"/>
      <c r="AL920" s="569"/>
      <c r="AM920" s="249"/>
    </row>
    <row r="921" spans="1:39" s="104" customFormat="1" ht="36.75" customHeight="1">
      <c r="A921" s="1"/>
      <c r="B921" s="1"/>
      <c r="C921" s="2"/>
      <c r="D921" s="1"/>
      <c r="E921" s="248"/>
      <c r="F921" s="569"/>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69"/>
      <c r="AL921" s="569"/>
      <c r="AM921" s="249"/>
    </row>
    <row r="922" spans="1:39" s="104" customFormat="1" ht="14.1" customHeight="1">
      <c r="A922" s="1"/>
      <c r="B922" s="1"/>
      <c r="C922" s="2"/>
      <c r="D922" s="1"/>
      <c r="E922" s="248"/>
      <c r="F922" s="225"/>
      <c r="G922" s="225"/>
      <c r="H922" s="225"/>
      <c r="I922" s="225"/>
      <c r="J922" s="225"/>
      <c r="K922" s="225"/>
      <c r="L922" s="225"/>
      <c r="M922" s="225"/>
      <c r="N922" s="225"/>
      <c r="O922" s="225"/>
      <c r="P922" s="225"/>
      <c r="Q922" s="225"/>
      <c r="R922" s="225"/>
      <c r="S922" s="225"/>
      <c r="T922" s="225"/>
      <c r="U922" s="225"/>
      <c r="V922" s="225"/>
      <c r="W922" s="225"/>
      <c r="X922" s="225"/>
      <c r="Y922" s="225"/>
      <c r="Z922" s="225"/>
      <c r="AA922" s="225"/>
      <c r="AB922" s="225"/>
      <c r="AC922" s="225"/>
      <c r="AD922" s="225"/>
      <c r="AE922" s="225"/>
      <c r="AF922" s="225"/>
      <c r="AG922" s="225"/>
      <c r="AH922" s="225"/>
      <c r="AI922" s="225"/>
      <c r="AJ922" s="225"/>
      <c r="AK922" s="225"/>
      <c r="AL922" s="225"/>
      <c r="AM922" s="225"/>
    </row>
    <row r="923" spans="1:39" s="104" customFormat="1" ht="14.1" customHeight="1">
      <c r="A923" s="1"/>
      <c r="B923" s="1"/>
      <c r="C923" s="2"/>
      <c r="D923" s="1"/>
      <c r="E923" s="248"/>
      <c r="F923" s="285" t="s">
        <v>1435</v>
      </c>
      <c r="G923" s="667" t="s">
        <v>1436</v>
      </c>
      <c r="H923" s="667"/>
      <c r="I923" s="667"/>
      <c r="J923" s="667"/>
      <c r="K923" s="667"/>
      <c r="L923" s="667"/>
      <c r="M923" s="667"/>
      <c r="N923" s="667"/>
      <c r="O923" s="667"/>
      <c r="P923" s="667"/>
      <c r="Q923" s="667"/>
      <c r="R923" s="667"/>
      <c r="S923" s="667"/>
      <c r="T923" s="667"/>
      <c r="U923" s="667"/>
      <c r="V923" s="667"/>
      <c r="W923" s="667"/>
      <c r="X923" s="667"/>
      <c r="Y923" s="667"/>
      <c r="Z923" s="667"/>
      <c r="AA923" s="667"/>
      <c r="AB923" s="667"/>
      <c r="AC923" s="667"/>
      <c r="AD923" s="667"/>
      <c r="AE923" s="667"/>
      <c r="AF923" s="285"/>
      <c r="AG923" s="285"/>
      <c r="AH923" s="285"/>
      <c r="AI923" s="285"/>
      <c r="AJ923" s="285"/>
      <c r="AK923" s="285"/>
      <c r="AL923" s="285"/>
      <c r="AM923" s="285"/>
    </row>
    <row r="924" spans="1:39" s="104" customFormat="1">
      <c r="A924" s="1"/>
      <c r="B924" s="1"/>
      <c r="C924" s="2"/>
      <c r="D924" s="1"/>
      <c r="E924" s="248"/>
      <c r="F924" s="225"/>
      <c r="G924" s="225"/>
      <c r="H924" s="225"/>
      <c r="I924" s="225"/>
      <c r="J924" s="225"/>
      <c r="K924" s="225"/>
      <c r="L924" s="225"/>
      <c r="M924" s="225"/>
      <c r="N924" s="225"/>
      <c r="O924" s="225"/>
      <c r="P924" s="225"/>
      <c r="Q924" s="225"/>
      <c r="R924" s="225"/>
      <c r="S924" s="225"/>
      <c r="T924" s="225"/>
      <c r="U924" s="225"/>
      <c r="V924" s="225"/>
      <c r="W924" s="225"/>
      <c r="X924" s="225"/>
      <c r="Y924" s="225"/>
      <c r="Z924" s="225"/>
      <c r="AA924" s="225"/>
      <c r="AB924" s="225"/>
      <c r="AC924" s="225"/>
      <c r="AD924" s="225"/>
      <c r="AE924" s="225"/>
      <c r="AF924" s="225"/>
      <c r="AG924" s="225"/>
      <c r="AH924" s="225"/>
      <c r="AI924" s="225"/>
      <c r="AJ924" s="225"/>
      <c r="AK924" s="225"/>
      <c r="AL924" s="225"/>
      <c r="AM924" s="225"/>
    </row>
    <row r="925" spans="1:39" s="104" customFormat="1" ht="30" customHeight="1">
      <c r="A925" s="1"/>
      <c r="B925" s="1"/>
      <c r="C925" s="2"/>
      <c r="D925" s="1"/>
      <c r="E925" s="248"/>
      <c r="F925" s="569" t="s">
        <v>1378</v>
      </c>
      <c r="G925" s="569"/>
      <c r="H925" s="569"/>
      <c r="I925" s="569"/>
      <c r="J925" s="569"/>
      <c r="K925" s="569"/>
      <c r="L925" s="569"/>
      <c r="M925" s="569"/>
      <c r="N925" s="569"/>
      <c r="O925" s="569"/>
      <c r="P925" s="569"/>
      <c r="Q925" s="569"/>
      <c r="R925" s="569"/>
      <c r="S925" s="569"/>
      <c r="T925" s="569"/>
      <c r="U925" s="569"/>
      <c r="V925" s="569"/>
      <c r="W925" s="569"/>
      <c r="X925" s="569"/>
      <c r="Y925" s="569"/>
      <c r="Z925" s="569"/>
      <c r="AA925" s="569"/>
      <c r="AB925" s="569"/>
      <c r="AC925" s="569"/>
      <c r="AD925" s="569"/>
      <c r="AE925" s="569"/>
      <c r="AF925" s="569"/>
      <c r="AG925" s="569"/>
      <c r="AH925" s="569"/>
      <c r="AI925" s="569"/>
      <c r="AJ925" s="569"/>
      <c r="AK925" s="569"/>
      <c r="AL925" s="569"/>
      <c r="AM925" s="249"/>
    </row>
    <row r="926" spans="1:39" s="104" customFormat="1" ht="18.75" customHeight="1">
      <c r="A926" s="1"/>
      <c r="B926" s="1"/>
      <c r="C926" s="2"/>
      <c r="D926" s="1"/>
      <c r="E926" s="248"/>
      <c r="F926" s="569"/>
      <c r="G926" s="569"/>
      <c r="H926" s="569"/>
      <c r="I926" s="569"/>
      <c r="J926" s="569"/>
      <c r="K926" s="569"/>
      <c r="L926" s="569"/>
      <c r="M926" s="569"/>
      <c r="N926" s="569"/>
      <c r="O926" s="569"/>
      <c r="P926" s="569"/>
      <c r="Q926" s="569"/>
      <c r="R926" s="569"/>
      <c r="S926" s="569"/>
      <c r="T926" s="569"/>
      <c r="U926" s="569"/>
      <c r="V926" s="569"/>
      <c r="W926" s="569"/>
      <c r="X926" s="569"/>
      <c r="Y926" s="569"/>
      <c r="Z926" s="569"/>
      <c r="AA926" s="569"/>
      <c r="AB926" s="569"/>
      <c r="AC926" s="569"/>
      <c r="AD926" s="569"/>
      <c r="AE926" s="569"/>
      <c r="AF926" s="569"/>
      <c r="AG926" s="569"/>
      <c r="AH926" s="569"/>
      <c r="AI926" s="569"/>
      <c r="AJ926" s="569"/>
      <c r="AK926" s="569"/>
      <c r="AL926" s="569"/>
      <c r="AM926" s="249"/>
    </row>
    <row r="927" spans="1:39">
      <c r="E927" s="248"/>
      <c r="F927" s="231"/>
      <c r="G927" s="231"/>
      <c r="H927" s="231"/>
      <c r="I927" s="231"/>
      <c r="J927" s="231"/>
      <c r="K927" s="231"/>
      <c r="L927" s="231"/>
      <c r="M927" s="231"/>
      <c r="N927" s="231"/>
      <c r="O927" s="231"/>
      <c r="P927" s="231"/>
      <c r="Q927" s="231"/>
      <c r="R927" s="231"/>
      <c r="S927" s="231"/>
      <c r="T927" s="231"/>
      <c r="U927" s="231"/>
      <c r="V927" s="231"/>
      <c r="W927" s="231"/>
      <c r="X927" s="231"/>
      <c r="Y927" s="231"/>
      <c r="Z927" s="231"/>
      <c r="AA927" s="231"/>
      <c r="AB927" s="231"/>
      <c r="AC927" s="231"/>
      <c r="AD927" s="231"/>
      <c r="AE927" s="231"/>
      <c r="AF927" s="231"/>
      <c r="AG927" s="231"/>
      <c r="AH927" s="231"/>
      <c r="AI927" s="231"/>
      <c r="AJ927" s="231"/>
      <c r="AK927" s="231"/>
      <c r="AL927" s="231"/>
      <c r="AM927" s="231"/>
    </row>
    <row r="928" spans="1:39" ht="14.1" customHeight="1">
      <c r="E928" s="248"/>
      <c r="F928" s="664" t="s">
        <v>1379</v>
      </c>
      <c r="G928" s="664"/>
      <c r="H928" s="661" t="s">
        <v>229</v>
      </c>
      <c r="I928" s="661"/>
      <c r="J928" s="661"/>
      <c r="K928" s="661"/>
      <c r="L928" s="661"/>
      <c r="M928" s="661"/>
      <c r="N928" s="661"/>
      <c r="O928" s="661"/>
      <c r="P928" s="661"/>
      <c r="Q928" s="661"/>
      <c r="R928" s="661"/>
      <c r="S928" s="661"/>
      <c r="T928" s="661"/>
      <c r="U928" s="661"/>
      <c r="V928" s="661"/>
      <c r="W928" s="661"/>
      <c r="X928" s="661"/>
      <c r="Y928" s="661"/>
      <c r="Z928" s="661"/>
      <c r="AA928" s="661"/>
      <c r="AB928" s="661"/>
      <c r="AC928" s="661"/>
      <c r="AD928" s="661"/>
      <c r="AE928" s="55"/>
      <c r="AF928" s="55"/>
      <c r="AG928" s="55"/>
      <c r="AH928" s="55"/>
      <c r="AI928" s="55"/>
      <c r="AJ928" s="55"/>
      <c r="AK928" s="55"/>
      <c r="AL928" s="55"/>
      <c r="AM928" s="55"/>
    </row>
    <row r="929" spans="1:39" ht="14.1" customHeight="1">
      <c r="E929" s="248"/>
      <c r="F929" s="569" t="s">
        <v>230</v>
      </c>
      <c r="G929" s="569"/>
      <c r="H929" s="569"/>
      <c r="I929" s="569"/>
      <c r="J929" s="569"/>
      <c r="K929" s="569"/>
      <c r="L929" s="569"/>
      <c r="M929" s="569"/>
      <c r="N929" s="569"/>
      <c r="O929" s="569"/>
      <c r="P929" s="569"/>
      <c r="Q929" s="569"/>
      <c r="R929" s="569"/>
      <c r="S929" s="569"/>
      <c r="T929" s="569"/>
      <c r="U929" s="569"/>
      <c r="V929" s="569"/>
      <c r="W929" s="569"/>
      <c r="X929" s="569"/>
      <c r="Y929" s="569"/>
      <c r="Z929" s="569"/>
      <c r="AA929" s="569"/>
      <c r="AB929" s="569"/>
      <c r="AC929" s="569"/>
      <c r="AD929" s="569"/>
      <c r="AE929" s="569"/>
      <c r="AF929" s="569"/>
      <c r="AG929" s="569"/>
      <c r="AH929" s="569"/>
      <c r="AI929" s="569"/>
      <c r="AJ929" s="569"/>
      <c r="AK929" s="569"/>
      <c r="AL929" s="569"/>
      <c r="AM929" s="249"/>
    </row>
    <row r="930" spans="1:39" ht="12.75" customHeight="1">
      <c r="E930" s="248"/>
      <c r="F930" s="569"/>
      <c r="G930" s="569"/>
      <c r="H930" s="569"/>
      <c r="I930" s="569"/>
      <c r="J930" s="569"/>
      <c r="K930" s="569"/>
      <c r="L930" s="569"/>
      <c r="M930" s="569"/>
      <c r="N930" s="569"/>
      <c r="O930" s="569"/>
      <c r="P930" s="569"/>
      <c r="Q930" s="569"/>
      <c r="R930" s="569"/>
      <c r="S930" s="569"/>
      <c r="T930" s="569"/>
      <c r="U930" s="569"/>
      <c r="V930" s="569"/>
      <c r="W930" s="569"/>
      <c r="X930" s="569"/>
      <c r="Y930" s="569"/>
      <c r="Z930" s="569"/>
      <c r="AA930" s="569"/>
      <c r="AB930" s="569"/>
      <c r="AC930" s="569"/>
      <c r="AD930" s="569"/>
      <c r="AE930" s="569"/>
      <c r="AF930" s="569"/>
      <c r="AG930" s="569"/>
      <c r="AH930" s="569"/>
      <c r="AI930" s="569"/>
      <c r="AJ930" s="569"/>
      <c r="AK930" s="569"/>
      <c r="AL930" s="569"/>
      <c r="AM930" s="249"/>
    </row>
    <row r="931" spans="1:39">
      <c r="E931" s="248"/>
      <c r="F931" s="569"/>
      <c r="G931" s="569"/>
      <c r="H931" s="569"/>
      <c r="I931" s="569"/>
      <c r="J931" s="569"/>
      <c r="K931" s="569"/>
      <c r="L931" s="569"/>
      <c r="M931" s="569"/>
      <c r="N931" s="569"/>
      <c r="O931" s="569"/>
      <c r="P931" s="569"/>
      <c r="Q931" s="569"/>
      <c r="R931" s="569"/>
      <c r="S931" s="569"/>
      <c r="T931" s="569"/>
      <c r="U931" s="569"/>
      <c r="V931" s="569"/>
      <c r="W931" s="569"/>
      <c r="X931" s="569"/>
      <c r="Y931" s="569"/>
      <c r="Z931" s="569"/>
      <c r="AA931" s="569"/>
      <c r="AB931" s="569"/>
      <c r="AC931" s="569"/>
      <c r="AD931" s="569"/>
      <c r="AE931" s="569"/>
      <c r="AF931" s="569"/>
      <c r="AG931" s="569"/>
      <c r="AH931" s="569"/>
      <c r="AI931" s="569"/>
      <c r="AJ931" s="569"/>
      <c r="AK931" s="569"/>
      <c r="AL931" s="569"/>
      <c r="AM931" s="249"/>
    </row>
    <row r="932" spans="1:39" ht="10.5" customHeight="1">
      <c r="E932" s="248"/>
      <c r="F932" s="569" t="s">
        <v>231</v>
      </c>
      <c r="G932" s="569"/>
      <c r="H932" s="569"/>
      <c r="I932" s="569"/>
      <c r="J932" s="569"/>
      <c r="K932" s="569"/>
      <c r="L932" s="569"/>
      <c r="M932" s="569"/>
      <c r="N932" s="569"/>
      <c r="O932" s="569"/>
      <c r="P932" s="569"/>
      <c r="Q932" s="569"/>
      <c r="R932" s="569"/>
      <c r="S932" s="569"/>
      <c r="T932" s="569"/>
      <c r="U932" s="569"/>
      <c r="V932" s="569"/>
      <c r="W932" s="569"/>
      <c r="X932" s="569"/>
      <c r="Y932" s="569"/>
      <c r="Z932" s="569"/>
      <c r="AA932" s="569"/>
      <c r="AB932" s="569"/>
      <c r="AC932" s="569"/>
      <c r="AD932" s="569"/>
      <c r="AE932" s="569"/>
      <c r="AF932" s="569"/>
      <c r="AG932" s="569"/>
      <c r="AH932" s="569"/>
      <c r="AI932" s="569"/>
      <c r="AJ932" s="569"/>
      <c r="AK932" s="569"/>
      <c r="AL932" s="569"/>
      <c r="AM932" s="249"/>
    </row>
    <row r="933" spans="1:39" ht="12.75" customHeight="1">
      <c r="E933" s="248"/>
      <c r="F933" s="569"/>
      <c r="G933" s="569"/>
      <c r="H933" s="569"/>
      <c r="I933" s="569"/>
      <c r="J933" s="569"/>
      <c r="K933" s="569"/>
      <c r="L933" s="569"/>
      <c r="M933" s="569"/>
      <c r="N933" s="569"/>
      <c r="O933" s="569"/>
      <c r="P933" s="569"/>
      <c r="Q933" s="569"/>
      <c r="R933" s="569"/>
      <c r="S933" s="569"/>
      <c r="T933" s="569"/>
      <c r="U933" s="569"/>
      <c r="V933" s="569"/>
      <c r="W933" s="569"/>
      <c r="X933" s="569"/>
      <c r="Y933" s="569"/>
      <c r="Z933" s="569"/>
      <c r="AA933" s="569"/>
      <c r="AB933" s="569"/>
      <c r="AC933" s="569"/>
      <c r="AD933" s="569"/>
      <c r="AE933" s="569"/>
      <c r="AF933" s="569"/>
      <c r="AG933" s="569"/>
      <c r="AH933" s="569"/>
      <c r="AI933" s="569"/>
      <c r="AJ933" s="569"/>
      <c r="AK933" s="569"/>
      <c r="AL933" s="569"/>
      <c r="AM933" s="249"/>
    </row>
    <row r="934" spans="1:39" ht="29.25" customHeight="1">
      <c r="E934" s="248"/>
      <c r="F934" s="569"/>
      <c r="G934" s="569"/>
      <c r="H934" s="569"/>
      <c r="I934" s="569"/>
      <c r="J934" s="569"/>
      <c r="K934" s="569"/>
      <c r="L934" s="569"/>
      <c r="M934" s="569"/>
      <c r="N934" s="569"/>
      <c r="O934" s="569"/>
      <c r="P934" s="569"/>
      <c r="Q934" s="569"/>
      <c r="R934" s="569"/>
      <c r="S934" s="569"/>
      <c r="T934" s="569"/>
      <c r="U934" s="569"/>
      <c r="V934" s="569"/>
      <c r="W934" s="569"/>
      <c r="X934" s="569"/>
      <c r="Y934" s="569"/>
      <c r="Z934" s="569"/>
      <c r="AA934" s="569"/>
      <c r="AB934" s="569"/>
      <c r="AC934" s="569"/>
      <c r="AD934" s="569"/>
      <c r="AE934" s="569"/>
      <c r="AF934" s="569"/>
      <c r="AG934" s="569"/>
      <c r="AH934" s="569"/>
      <c r="AI934" s="569"/>
      <c r="AJ934" s="569"/>
      <c r="AK934" s="569"/>
      <c r="AL934" s="569"/>
      <c r="AM934" s="249"/>
    </row>
    <row r="935" spans="1:39" s="382" customFormat="1" ht="12.75" customHeight="1">
      <c r="A935" s="1"/>
      <c r="B935" s="1"/>
      <c r="C935" s="2"/>
      <c r="D935" s="1"/>
      <c r="E935" s="384"/>
      <c r="F935" s="379"/>
      <c r="G935" s="379"/>
      <c r="H935" s="379"/>
      <c r="I935" s="379"/>
      <c r="J935" s="379"/>
      <c r="K935" s="379"/>
      <c r="L935" s="379"/>
      <c r="M935" s="379"/>
      <c r="N935" s="379"/>
      <c r="O935" s="379"/>
      <c r="P935" s="379"/>
      <c r="Q935" s="379"/>
      <c r="R935" s="379"/>
      <c r="S935" s="379"/>
      <c r="T935" s="379"/>
      <c r="U935" s="379"/>
      <c r="V935" s="379"/>
      <c r="W935" s="379"/>
      <c r="X935" s="379"/>
      <c r="Y935" s="379"/>
      <c r="Z935" s="379"/>
      <c r="AA935" s="379"/>
      <c r="AB935" s="379"/>
      <c r="AC935" s="379"/>
      <c r="AD935" s="379"/>
      <c r="AE935" s="379"/>
      <c r="AF935" s="379"/>
      <c r="AG935" s="379"/>
      <c r="AH935" s="379"/>
      <c r="AI935" s="379"/>
      <c r="AJ935" s="379"/>
      <c r="AK935" s="379"/>
      <c r="AL935" s="379"/>
      <c r="AM935" s="381"/>
    </row>
    <row r="936" spans="1:39" s="361" customFormat="1" ht="13.5" customHeight="1">
      <c r="A936" s="1"/>
      <c r="B936" s="1"/>
      <c r="C936" s="2"/>
      <c r="D936" s="1"/>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358" t="s">
        <v>24</v>
      </c>
      <c r="AK936" s="612">
        <f>AK878+1</f>
        <v>15</v>
      </c>
      <c r="AL936" s="612"/>
      <c r="AM936" s="358" t="s">
        <v>24</v>
      </c>
    </row>
    <row r="937" spans="1:39" s="361" customFormat="1" ht="13.5" customHeight="1">
      <c r="A937" s="1"/>
      <c r="B937" s="1"/>
      <c r="C937" s="2"/>
      <c r="D937" s="1"/>
      <c r="E937" s="363"/>
      <c r="F937" s="354"/>
      <c r="G937" s="354"/>
      <c r="H937" s="354"/>
      <c r="I937" s="354"/>
      <c r="J937" s="354"/>
      <c r="K937" s="354"/>
      <c r="L937" s="354"/>
      <c r="M937" s="354"/>
      <c r="N937" s="354"/>
      <c r="O937" s="354"/>
      <c r="P937" s="354"/>
      <c r="Q937" s="354"/>
      <c r="R937" s="354"/>
      <c r="S937" s="354"/>
      <c r="T937" s="354"/>
      <c r="U937" s="354"/>
      <c r="V937" s="354"/>
      <c r="W937" s="354"/>
      <c r="X937" s="354"/>
      <c r="Y937" s="354"/>
      <c r="Z937" s="354"/>
      <c r="AA937" s="354"/>
      <c r="AB937" s="354"/>
      <c r="AC937" s="354"/>
      <c r="AD937" s="354"/>
      <c r="AE937" s="354"/>
      <c r="AF937" s="354"/>
      <c r="AG937" s="354"/>
      <c r="AH937" s="354"/>
      <c r="AI937" s="354"/>
      <c r="AJ937" s="354"/>
      <c r="AK937" s="354"/>
      <c r="AL937" s="354"/>
      <c r="AM937" s="360"/>
    </row>
    <row r="938" spans="1:39" s="361" customFormat="1" ht="13.5" customHeight="1">
      <c r="A938" s="1"/>
      <c r="B938" s="1"/>
      <c r="C938" s="2"/>
      <c r="D938" s="1"/>
      <c r="E938" s="363"/>
      <c r="F938" s="354"/>
      <c r="G938" s="354"/>
      <c r="H938" s="354"/>
      <c r="I938" s="354"/>
      <c r="J938" s="354"/>
      <c r="K938" s="354"/>
      <c r="L938" s="354"/>
      <c r="M938" s="354"/>
      <c r="N938" s="354"/>
      <c r="O938" s="354"/>
      <c r="P938" s="354"/>
      <c r="Q938" s="354"/>
      <c r="R938" s="354"/>
      <c r="S938" s="354"/>
      <c r="T938" s="354"/>
      <c r="U938" s="354"/>
      <c r="V938" s="354"/>
      <c r="W938" s="354"/>
      <c r="X938" s="354"/>
      <c r="Y938" s="354"/>
      <c r="Z938" s="354"/>
      <c r="AA938" s="354"/>
      <c r="AB938" s="354"/>
      <c r="AC938" s="354"/>
      <c r="AD938" s="354"/>
      <c r="AE938" s="354"/>
      <c r="AF938" s="354"/>
      <c r="AG938" s="354"/>
      <c r="AH938" s="354"/>
      <c r="AI938" s="354"/>
      <c r="AJ938" s="354"/>
      <c r="AK938" s="354"/>
      <c r="AL938" s="354"/>
      <c r="AM938" s="360"/>
    </row>
    <row r="939" spans="1:39" s="361" customFormat="1" ht="13.5" customHeight="1">
      <c r="A939" s="1"/>
      <c r="B939" s="1"/>
      <c r="C939" s="2"/>
      <c r="D939" s="1"/>
      <c r="E939" s="265" t="str">
        <f>UPPER($Y$28)</f>
        <v>ПТ ЛОМБАРД "МЕРКУРІЙ"</v>
      </c>
      <c r="F939" s="265"/>
      <c r="G939" s="265"/>
      <c r="H939" s="265"/>
      <c r="I939" s="265"/>
      <c r="J939" s="265"/>
      <c r="K939" s="265"/>
      <c r="L939" s="265"/>
      <c r="M939" s="265"/>
      <c r="N939" s="265"/>
      <c r="O939" s="265"/>
      <c r="P939" s="265"/>
      <c r="Q939" s="265"/>
      <c r="R939" s="265"/>
      <c r="S939" s="265"/>
      <c r="T939" s="265"/>
      <c r="U939" s="265"/>
      <c r="V939" s="265"/>
      <c r="W939" s="265"/>
      <c r="X939" s="265"/>
      <c r="Y939" s="265"/>
      <c r="Z939" s="265"/>
      <c r="AA939" s="265"/>
      <c r="AB939" s="265"/>
      <c r="AC939" s="265"/>
      <c r="AD939" s="265"/>
      <c r="AE939" s="265"/>
      <c r="AF939" s="265"/>
      <c r="AG939" s="265"/>
      <c r="AH939" s="265"/>
      <c r="AI939" s="265"/>
      <c r="AJ939" s="265"/>
      <c r="AK939" s="265"/>
      <c r="AL939" s="265"/>
      <c r="AM939" s="265"/>
    </row>
    <row r="940" spans="1:39" s="361" customFormat="1" ht="13.5" customHeight="1">
      <c r="A940" s="1"/>
      <c r="B940" s="1"/>
      <c r="C940" s="2"/>
      <c r="D940" s="1"/>
      <c r="E940" s="269" t="s">
        <v>143</v>
      </c>
      <c r="F940" s="269"/>
      <c r="G940" s="269"/>
      <c r="H940" s="269"/>
      <c r="I940" s="269"/>
      <c r="J940" s="269"/>
      <c r="K940" s="269"/>
      <c r="L940" s="269"/>
      <c r="M940" s="269"/>
      <c r="N940" s="269"/>
      <c r="O940" s="269"/>
      <c r="P940" s="269"/>
      <c r="Q940" s="269"/>
      <c r="R940" s="269"/>
      <c r="S940" s="269"/>
      <c r="T940" s="269"/>
      <c r="U940" s="269"/>
      <c r="V940" s="269"/>
      <c r="W940" s="269"/>
      <c r="X940" s="269"/>
      <c r="Y940" s="269"/>
      <c r="Z940" s="269"/>
      <c r="AA940" s="269"/>
      <c r="AB940" s="269"/>
      <c r="AC940" s="269"/>
      <c r="AD940" s="269"/>
      <c r="AE940" s="269"/>
      <c r="AF940" s="269"/>
      <c r="AG940" s="269"/>
      <c r="AH940" s="269"/>
      <c r="AI940" s="269"/>
      <c r="AJ940" s="269"/>
      <c r="AK940" s="269"/>
      <c r="AL940" s="269"/>
      <c r="AM940" s="269"/>
    </row>
    <row r="941" spans="1:39" s="361" customFormat="1" ht="13.5" customHeight="1">
      <c r="A941" s="1"/>
      <c r="B941" s="1"/>
      <c r="C941" s="2"/>
      <c r="D941" s="1"/>
      <c r="E941" s="269" t="str">
        <f>$E$274</f>
        <v>ЗА РІК, ЩО ЗАКІНЧИВСЯ 31 ГРУДНЯ 2020 РОКУ</v>
      </c>
      <c r="F941" s="269"/>
      <c r="G941" s="269"/>
      <c r="H941" s="269"/>
      <c r="I941" s="269"/>
      <c r="J941" s="269"/>
      <c r="K941" s="269"/>
      <c r="L941" s="269"/>
      <c r="M941" s="269"/>
      <c r="N941" s="269"/>
      <c r="O941" s="269"/>
      <c r="P941" s="269"/>
      <c r="Q941" s="269"/>
      <c r="R941" s="269"/>
      <c r="S941" s="269"/>
      <c r="T941" s="269"/>
      <c r="U941" s="269"/>
      <c r="V941" s="269"/>
      <c r="W941" s="269"/>
      <c r="X941" s="269"/>
      <c r="Y941" s="269"/>
      <c r="Z941" s="269"/>
      <c r="AA941" s="269"/>
      <c r="AB941" s="269"/>
      <c r="AC941" s="269"/>
      <c r="AD941" s="269"/>
      <c r="AE941" s="269"/>
      <c r="AF941" s="269"/>
      <c r="AG941" s="269"/>
      <c r="AH941" s="269"/>
      <c r="AI941" s="269"/>
      <c r="AJ941" s="269"/>
      <c r="AK941" s="269"/>
      <c r="AL941" s="269"/>
      <c r="AM941" s="269"/>
    </row>
    <row r="942" spans="1:39" s="361" customFormat="1" ht="13.5" customHeight="1">
      <c r="A942" s="1"/>
      <c r="B942" s="1"/>
      <c r="C942" s="2"/>
      <c r="D942" s="1"/>
      <c r="E942" s="244" t="str">
        <f>$E$209</f>
        <v>(в тисячах гривень, якщо не вказано інше)</v>
      </c>
      <c r="F942" s="244"/>
      <c r="G942" s="244"/>
      <c r="H942" s="244"/>
      <c r="I942" s="244"/>
      <c r="J942" s="244"/>
      <c r="K942" s="244"/>
      <c r="L942" s="244"/>
      <c r="M942" s="244"/>
      <c r="N942" s="244"/>
      <c r="O942" s="244"/>
      <c r="P942" s="244"/>
      <c r="Q942" s="244"/>
      <c r="R942" s="244"/>
      <c r="S942" s="244"/>
      <c r="T942" s="244"/>
      <c r="U942" s="244"/>
      <c r="V942" s="244"/>
      <c r="W942" s="244"/>
      <c r="X942" s="244"/>
      <c r="Y942" s="244"/>
      <c r="Z942" s="244"/>
      <c r="AA942" s="244"/>
      <c r="AB942" s="244"/>
      <c r="AC942" s="244"/>
      <c r="AD942" s="244"/>
      <c r="AE942" s="244"/>
      <c r="AF942" s="244"/>
      <c r="AG942" s="244"/>
      <c r="AH942" s="244"/>
      <c r="AI942" s="244"/>
      <c r="AJ942" s="244"/>
      <c r="AK942" s="244"/>
      <c r="AL942" s="244"/>
      <c r="AM942" s="244"/>
    </row>
    <row r="943" spans="1:39" s="361" customFormat="1" ht="13.5" customHeight="1">
      <c r="A943" s="1"/>
      <c r="B943" s="1"/>
      <c r="C943" s="2"/>
      <c r="D943" s="1"/>
      <c r="E943" s="363"/>
      <c r="F943" s="354"/>
      <c r="G943" s="354"/>
      <c r="H943" s="354"/>
      <c r="I943" s="354"/>
      <c r="J943" s="354"/>
      <c r="K943" s="354"/>
      <c r="L943" s="354"/>
      <c r="M943" s="354"/>
      <c r="N943" s="354"/>
      <c r="O943" s="354"/>
      <c r="P943" s="354"/>
      <c r="Q943" s="354"/>
      <c r="R943" s="354"/>
      <c r="S943" s="354"/>
      <c r="T943" s="354"/>
      <c r="U943" s="354"/>
      <c r="V943" s="354"/>
      <c r="W943" s="354"/>
      <c r="X943" s="354"/>
      <c r="Y943" s="354"/>
      <c r="Z943" s="354"/>
      <c r="AA943" s="354"/>
      <c r="AB943" s="354"/>
      <c r="AC943" s="354"/>
      <c r="AD943" s="354"/>
      <c r="AE943" s="354"/>
      <c r="AF943" s="354"/>
      <c r="AG943" s="354"/>
      <c r="AH943" s="354"/>
      <c r="AI943" s="354"/>
      <c r="AJ943" s="354"/>
      <c r="AK943" s="354"/>
      <c r="AL943" s="354"/>
      <c r="AM943" s="360"/>
    </row>
    <row r="944" spans="1:39" ht="21" customHeight="1">
      <c r="E944" s="54"/>
      <c r="F944" s="569" t="s">
        <v>232</v>
      </c>
      <c r="G944" s="569"/>
      <c r="H944" s="569"/>
      <c r="I944" s="569"/>
      <c r="J944" s="569"/>
      <c r="K944" s="569"/>
      <c r="L944" s="569"/>
      <c r="M944" s="569"/>
      <c r="N944" s="569"/>
      <c r="O944" s="569"/>
      <c r="P944" s="569"/>
      <c r="Q944" s="569"/>
      <c r="R944" s="569"/>
      <c r="S944" s="569"/>
      <c r="T944" s="569"/>
      <c r="U944" s="569"/>
      <c r="V944" s="569"/>
      <c r="W944" s="569"/>
      <c r="X944" s="569"/>
      <c r="Y944" s="569"/>
      <c r="Z944" s="569"/>
      <c r="AA944" s="569"/>
      <c r="AB944" s="569"/>
      <c r="AC944" s="569"/>
      <c r="AD944" s="569"/>
      <c r="AE944" s="569"/>
      <c r="AF944" s="569"/>
      <c r="AG944" s="569"/>
      <c r="AH944" s="569"/>
      <c r="AI944" s="569"/>
      <c r="AJ944" s="569"/>
      <c r="AK944" s="569"/>
      <c r="AL944" s="569"/>
      <c r="AM944" s="249"/>
    </row>
    <row r="945" spans="4:39" ht="8.25" customHeight="1">
      <c r="E945" s="54"/>
      <c r="F945" s="569"/>
      <c r="G945" s="569"/>
      <c r="H945" s="569"/>
      <c r="I945" s="569"/>
      <c r="J945" s="569"/>
      <c r="K945" s="569"/>
      <c r="L945" s="569"/>
      <c r="M945" s="569"/>
      <c r="N945" s="569"/>
      <c r="O945" s="569"/>
      <c r="P945" s="569"/>
      <c r="Q945" s="569"/>
      <c r="R945" s="569"/>
      <c r="S945" s="569"/>
      <c r="T945" s="569"/>
      <c r="U945" s="569"/>
      <c r="V945" s="569"/>
      <c r="W945" s="569"/>
      <c r="X945" s="569"/>
      <c r="Y945" s="569"/>
      <c r="Z945" s="569"/>
      <c r="AA945" s="569"/>
      <c r="AB945" s="569"/>
      <c r="AC945" s="569"/>
      <c r="AD945" s="569"/>
      <c r="AE945" s="569"/>
      <c r="AF945" s="569"/>
      <c r="AG945" s="569"/>
      <c r="AH945" s="569"/>
      <c r="AI945" s="569"/>
      <c r="AJ945" s="569"/>
      <c r="AK945" s="569"/>
      <c r="AL945" s="569"/>
      <c r="AM945" s="249"/>
    </row>
    <row r="946" spans="4:39" ht="17.100000000000001" customHeight="1">
      <c r="E946" s="54"/>
      <c r="F946" s="569" t="s">
        <v>233</v>
      </c>
      <c r="G946" s="569"/>
      <c r="H946" s="569"/>
      <c r="I946" s="569"/>
      <c r="J946" s="569"/>
      <c r="K946" s="569"/>
      <c r="L946" s="569"/>
      <c r="M946" s="569"/>
      <c r="N946" s="569"/>
      <c r="O946" s="569"/>
      <c r="P946" s="569"/>
      <c r="Q946" s="569"/>
      <c r="R946" s="569"/>
      <c r="S946" s="569"/>
      <c r="T946" s="569"/>
      <c r="U946" s="569"/>
      <c r="V946" s="569"/>
      <c r="W946" s="569"/>
      <c r="X946" s="569"/>
      <c r="Y946" s="569"/>
      <c r="Z946" s="569"/>
      <c r="AA946" s="569"/>
      <c r="AB946" s="569"/>
      <c r="AC946" s="569"/>
      <c r="AD946" s="569"/>
      <c r="AE946" s="569"/>
      <c r="AF946" s="569"/>
      <c r="AG946" s="569"/>
      <c r="AH946" s="569"/>
      <c r="AI946" s="569"/>
      <c r="AJ946" s="569"/>
      <c r="AK946" s="569"/>
      <c r="AL946" s="569"/>
      <c r="AM946" s="249"/>
    </row>
    <row r="947" spans="4:39" ht="12.75" customHeight="1">
      <c r="E947" s="54"/>
      <c r="F947" s="569"/>
      <c r="G947" s="569"/>
      <c r="H947" s="569"/>
      <c r="I947" s="569"/>
      <c r="J947" s="569"/>
      <c r="K947" s="569"/>
      <c r="L947" s="569"/>
      <c r="M947" s="569"/>
      <c r="N947" s="569"/>
      <c r="O947" s="569"/>
      <c r="P947" s="569"/>
      <c r="Q947" s="569"/>
      <c r="R947" s="569"/>
      <c r="S947" s="569"/>
      <c r="T947" s="569"/>
      <c r="U947" s="569"/>
      <c r="V947" s="569"/>
      <c r="W947" s="569"/>
      <c r="X947" s="569"/>
      <c r="Y947" s="569"/>
      <c r="Z947" s="569"/>
      <c r="AA947" s="569"/>
      <c r="AB947" s="569"/>
      <c r="AC947" s="569"/>
      <c r="AD947" s="569"/>
      <c r="AE947" s="569"/>
      <c r="AF947" s="569"/>
      <c r="AG947" s="569"/>
      <c r="AH947" s="569"/>
      <c r="AI947" s="569"/>
      <c r="AJ947" s="569"/>
      <c r="AK947" s="569"/>
      <c r="AL947" s="569"/>
      <c r="AM947" s="249"/>
    </row>
    <row r="948" spans="4:39" ht="12.75" customHeight="1">
      <c r="E948" s="54"/>
      <c r="F948" s="569" t="s">
        <v>234</v>
      </c>
      <c r="G948" s="569"/>
      <c r="H948" s="569"/>
      <c r="I948" s="569"/>
      <c r="J948" s="569"/>
      <c r="K948" s="569"/>
      <c r="L948" s="569"/>
      <c r="M948" s="569"/>
      <c r="N948" s="569"/>
      <c r="O948" s="569"/>
      <c r="P948" s="569"/>
      <c r="Q948" s="569"/>
      <c r="R948" s="569"/>
      <c r="S948" s="569"/>
      <c r="T948" s="569"/>
      <c r="U948" s="569"/>
      <c r="V948" s="569"/>
      <c r="W948" s="569"/>
      <c r="X948" s="569"/>
      <c r="Y948" s="569"/>
      <c r="Z948" s="569"/>
      <c r="AA948" s="569"/>
      <c r="AB948" s="569"/>
      <c r="AC948" s="569"/>
      <c r="AD948" s="569"/>
      <c r="AE948" s="569"/>
      <c r="AF948" s="569"/>
      <c r="AG948" s="569"/>
      <c r="AH948" s="569"/>
      <c r="AI948" s="569"/>
      <c r="AJ948" s="569"/>
      <c r="AK948" s="569"/>
      <c r="AL948" s="569"/>
      <c r="AM948" s="249"/>
    </row>
    <row r="949" spans="4:39" ht="18.75" customHeight="1">
      <c r="E949" s="54"/>
      <c r="F949" s="569"/>
      <c r="G949" s="569"/>
      <c r="H949" s="569"/>
      <c r="I949" s="569"/>
      <c r="J949" s="569"/>
      <c r="K949" s="569"/>
      <c r="L949" s="569"/>
      <c r="M949" s="569"/>
      <c r="N949" s="569"/>
      <c r="O949" s="569"/>
      <c r="P949" s="569"/>
      <c r="Q949" s="569"/>
      <c r="R949" s="569"/>
      <c r="S949" s="569"/>
      <c r="T949" s="569"/>
      <c r="U949" s="569"/>
      <c r="V949" s="569"/>
      <c r="W949" s="569"/>
      <c r="X949" s="569"/>
      <c r="Y949" s="569"/>
      <c r="Z949" s="569"/>
      <c r="AA949" s="569"/>
      <c r="AB949" s="569"/>
      <c r="AC949" s="569"/>
      <c r="AD949" s="569"/>
      <c r="AE949" s="569"/>
      <c r="AF949" s="569"/>
      <c r="AG949" s="569"/>
      <c r="AH949" s="569"/>
      <c r="AI949" s="569"/>
      <c r="AJ949" s="569"/>
      <c r="AK949" s="569"/>
      <c r="AL949" s="569"/>
      <c r="AM949" s="249"/>
    </row>
    <row r="950" spans="4:39">
      <c r="E950" s="54"/>
    </row>
    <row r="951" spans="4:39" ht="14.1" customHeight="1">
      <c r="E951" s="54"/>
      <c r="F951" s="665" t="s">
        <v>484</v>
      </c>
      <c r="G951" s="665"/>
      <c r="H951" s="661" t="s">
        <v>237</v>
      </c>
      <c r="I951" s="661"/>
      <c r="J951" s="661"/>
      <c r="K951" s="661"/>
      <c r="L951" s="661"/>
      <c r="M951" s="661"/>
      <c r="N951" s="661"/>
      <c r="O951" s="661"/>
      <c r="P951" s="661"/>
      <c r="Q951" s="661"/>
      <c r="R951" s="661"/>
      <c r="S951" s="661"/>
      <c r="T951" s="661"/>
      <c r="U951" s="661"/>
      <c r="V951" s="661"/>
      <c r="W951" s="661"/>
      <c r="X951" s="661"/>
      <c r="Y951" s="661"/>
      <c r="Z951" s="661"/>
      <c r="AA951" s="661"/>
      <c r="AB951" s="661"/>
      <c r="AC951" s="55"/>
      <c r="AD951" s="55"/>
      <c r="AE951" s="55"/>
      <c r="AF951" s="55"/>
      <c r="AG951" s="55"/>
      <c r="AH951" s="55"/>
      <c r="AI951" s="55"/>
      <c r="AJ951" s="55"/>
      <c r="AK951" s="55"/>
      <c r="AL951" s="55"/>
      <c r="AM951" s="55"/>
    </row>
    <row r="952" spans="4:39" ht="14.1" customHeight="1">
      <c r="E952" s="54"/>
      <c r="F952" s="569" t="s">
        <v>238</v>
      </c>
      <c r="G952" s="569"/>
      <c r="H952" s="569"/>
      <c r="I952" s="569"/>
      <c r="J952" s="569"/>
      <c r="K952" s="569"/>
      <c r="L952" s="569"/>
      <c r="M952" s="569"/>
      <c r="N952" s="569"/>
      <c r="O952" s="569"/>
      <c r="P952" s="569"/>
      <c r="Q952" s="569"/>
      <c r="R952" s="569"/>
      <c r="S952" s="569"/>
      <c r="T952" s="569"/>
      <c r="U952" s="569"/>
      <c r="V952" s="569"/>
      <c r="W952" s="569"/>
      <c r="X952" s="569"/>
      <c r="Y952" s="569"/>
      <c r="Z952" s="569"/>
      <c r="AA952" s="569"/>
      <c r="AB952" s="569"/>
      <c r="AC952" s="569"/>
      <c r="AD952" s="569"/>
      <c r="AE952" s="569"/>
      <c r="AF952" s="569"/>
      <c r="AG952" s="569"/>
      <c r="AH952" s="569"/>
      <c r="AI952" s="569"/>
      <c r="AJ952" s="569"/>
      <c r="AK952" s="569"/>
      <c r="AL952" s="569"/>
      <c r="AM952" s="249"/>
    </row>
    <row r="953" spans="4:39">
      <c r="E953" s="54"/>
      <c r="F953" s="569"/>
      <c r="G953" s="569"/>
      <c r="H953" s="569"/>
      <c r="I953" s="569"/>
      <c r="J953" s="569"/>
      <c r="K953" s="569"/>
      <c r="L953" s="569"/>
      <c r="M953" s="569"/>
      <c r="N953" s="569"/>
      <c r="O953" s="569"/>
      <c r="P953" s="569"/>
      <c r="Q953" s="569"/>
      <c r="R953" s="569"/>
      <c r="S953" s="569"/>
      <c r="T953" s="569"/>
      <c r="U953" s="569"/>
      <c r="V953" s="569"/>
      <c r="W953" s="569"/>
      <c r="X953" s="569"/>
      <c r="Y953" s="569"/>
      <c r="Z953" s="569"/>
      <c r="AA953" s="569"/>
      <c r="AB953" s="569"/>
      <c r="AC953" s="569"/>
      <c r="AD953" s="569"/>
      <c r="AE953" s="569"/>
      <c r="AF953" s="569"/>
      <c r="AG953" s="569"/>
      <c r="AH953" s="569"/>
      <c r="AI953" s="569"/>
      <c r="AJ953" s="569"/>
      <c r="AK953" s="569"/>
      <c r="AL953" s="569"/>
      <c r="AM953" s="249"/>
    </row>
    <row r="954" spans="4:39">
      <c r="E954" s="54"/>
      <c r="F954" s="569"/>
      <c r="G954" s="569"/>
      <c r="H954" s="569"/>
      <c r="I954" s="569"/>
      <c r="J954" s="569"/>
      <c r="K954" s="569"/>
      <c r="L954" s="569"/>
      <c r="M954" s="569"/>
      <c r="N954" s="569"/>
      <c r="O954" s="569"/>
      <c r="P954" s="569"/>
      <c r="Q954" s="569"/>
      <c r="R954" s="569"/>
      <c r="S954" s="569"/>
      <c r="T954" s="569"/>
      <c r="U954" s="569"/>
      <c r="V954" s="569"/>
      <c r="W954" s="569"/>
      <c r="X954" s="569"/>
      <c r="Y954" s="569"/>
      <c r="Z954" s="569"/>
      <c r="AA954" s="569"/>
      <c r="AB954" s="569"/>
      <c r="AC954" s="569"/>
      <c r="AD954" s="569"/>
      <c r="AE954" s="569"/>
      <c r="AF954" s="569"/>
      <c r="AG954" s="569"/>
      <c r="AH954" s="569"/>
      <c r="AI954" s="569"/>
      <c r="AJ954" s="569"/>
      <c r="AK954" s="569"/>
      <c r="AL954" s="569"/>
      <c r="AM954" s="249"/>
    </row>
    <row r="955" spans="4:39">
      <c r="E955" s="54"/>
      <c r="F955" s="569"/>
      <c r="G955" s="569"/>
      <c r="H955" s="569"/>
      <c r="I955" s="569"/>
      <c r="J955" s="569"/>
      <c r="K955" s="569"/>
      <c r="L955" s="569"/>
      <c r="M955" s="569"/>
      <c r="N955" s="569"/>
      <c r="O955" s="569"/>
      <c r="P955" s="569"/>
      <c r="Q955" s="569"/>
      <c r="R955" s="569"/>
      <c r="S955" s="569"/>
      <c r="T955" s="569"/>
      <c r="U955" s="569"/>
      <c r="V955" s="569"/>
      <c r="W955" s="569"/>
      <c r="X955" s="569"/>
      <c r="Y955" s="569"/>
      <c r="Z955" s="569"/>
      <c r="AA955" s="569"/>
      <c r="AB955" s="569"/>
      <c r="AC955" s="569"/>
      <c r="AD955" s="569"/>
      <c r="AE955" s="569"/>
      <c r="AF955" s="569"/>
      <c r="AG955" s="569"/>
      <c r="AH955" s="569"/>
      <c r="AI955" s="569"/>
      <c r="AJ955" s="569"/>
      <c r="AK955" s="569"/>
      <c r="AL955" s="569"/>
      <c r="AM955" s="249"/>
    </row>
    <row r="956" spans="4:39" ht="12.75" customHeight="1">
      <c r="D956" s="1">
        <v>14</v>
      </c>
      <c r="E956" s="54"/>
      <c r="F956" s="569"/>
      <c r="G956" s="569"/>
      <c r="H956" s="569"/>
      <c r="I956" s="569"/>
      <c r="J956" s="569"/>
      <c r="K956" s="569"/>
      <c r="L956" s="569"/>
      <c r="M956" s="569"/>
      <c r="N956" s="569"/>
      <c r="O956" s="569"/>
      <c r="P956" s="569"/>
      <c r="Q956" s="569"/>
      <c r="R956" s="569"/>
      <c r="S956" s="569"/>
      <c r="T956" s="569"/>
      <c r="U956" s="569"/>
      <c r="V956" s="569"/>
      <c r="W956" s="569"/>
      <c r="X956" s="569"/>
      <c r="Y956" s="569"/>
      <c r="Z956" s="569"/>
      <c r="AA956" s="569"/>
      <c r="AB956" s="569"/>
      <c r="AC956" s="569"/>
      <c r="AD956" s="569"/>
      <c r="AE956" s="569"/>
      <c r="AF956" s="569"/>
      <c r="AG956" s="569"/>
      <c r="AH956" s="569"/>
      <c r="AI956" s="569"/>
      <c r="AJ956" s="569"/>
      <c r="AK956" s="569"/>
      <c r="AL956" s="569"/>
      <c r="AM956" s="249"/>
    </row>
    <row r="957" spans="4:39" ht="38.1" customHeight="1">
      <c r="E957" s="54"/>
      <c r="F957" s="569"/>
      <c r="G957" s="569"/>
      <c r="H957" s="569"/>
      <c r="I957" s="569"/>
      <c r="J957" s="569"/>
      <c r="K957" s="569"/>
      <c r="L957" s="569"/>
      <c r="M957" s="569"/>
      <c r="N957" s="569"/>
      <c r="O957" s="569"/>
      <c r="P957" s="569"/>
      <c r="Q957" s="569"/>
      <c r="R957" s="569"/>
      <c r="S957" s="569"/>
      <c r="T957" s="569"/>
      <c r="U957" s="569"/>
      <c r="V957" s="569"/>
      <c r="W957" s="569"/>
      <c r="X957" s="569"/>
      <c r="Y957" s="569"/>
      <c r="Z957" s="569"/>
      <c r="AA957" s="569"/>
      <c r="AB957" s="569"/>
      <c r="AC957" s="569"/>
      <c r="AD957" s="569"/>
      <c r="AE957" s="569"/>
      <c r="AF957" s="569"/>
      <c r="AG957" s="569"/>
      <c r="AH957" s="569"/>
      <c r="AI957" s="569"/>
      <c r="AJ957" s="569"/>
      <c r="AK957" s="569"/>
      <c r="AL957" s="569"/>
      <c r="AM957" s="249"/>
    </row>
    <row r="958" spans="4:39">
      <c r="E958" s="54"/>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row>
    <row r="959" spans="4:39" ht="24.75" customHeight="1">
      <c r="E959" s="54"/>
      <c r="F959" s="569" t="s">
        <v>239</v>
      </c>
      <c r="G959" s="569"/>
      <c r="H959" s="569"/>
      <c r="I959" s="569"/>
      <c r="J959" s="569"/>
      <c r="K959" s="569"/>
      <c r="L959" s="569"/>
      <c r="M959" s="569"/>
      <c r="N959" s="569"/>
      <c r="O959" s="569"/>
      <c r="P959" s="569"/>
      <c r="Q959" s="569"/>
      <c r="R959" s="569"/>
      <c r="S959" s="569"/>
      <c r="T959" s="569"/>
      <c r="U959" s="569"/>
      <c r="V959" s="569"/>
      <c r="W959" s="569"/>
      <c r="X959" s="569"/>
      <c r="Y959" s="569"/>
      <c r="Z959" s="569"/>
      <c r="AA959" s="569"/>
      <c r="AB959" s="569"/>
      <c r="AC959" s="569"/>
      <c r="AD959" s="569"/>
      <c r="AE959" s="569"/>
      <c r="AF959" s="569"/>
      <c r="AG959" s="569"/>
      <c r="AH959" s="569"/>
      <c r="AI959" s="569"/>
      <c r="AJ959" s="569"/>
      <c r="AK959" s="569"/>
      <c r="AL959" s="569"/>
      <c r="AM959" s="249"/>
    </row>
    <row r="960" spans="4:39">
      <c r="E960" s="54"/>
    </row>
    <row r="961" spans="1:39" ht="14.1" customHeight="1">
      <c r="E961" s="54"/>
      <c r="F961" s="665" t="s">
        <v>485</v>
      </c>
      <c r="G961" s="665"/>
      <c r="H961" s="661" t="s">
        <v>243</v>
      </c>
      <c r="I961" s="661"/>
      <c r="J961" s="661"/>
      <c r="K961" s="661"/>
      <c r="L961" s="661"/>
      <c r="M961" s="661"/>
      <c r="N961" s="661"/>
      <c r="O961" s="661"/>
      <c r="P961" s="661"/>
      <c r="Q961" s="661"/>
      <c r="R961" s="661"/>
      <c r="S961" s="661"/>
      <c r="T961" s="661"/>
      <c r="U961" s="661"/>
      <c r="V961" s="661"/>
      <c r="W961" s="661"/>
      <c r="X961" s="661"/>
      <c r="Y961" s="661"/>
      <c r="Z961" s="661"/>
      <c r="AA961" s="661"/>
      <c r="AB961" s="661"/>
      <c r="AC961" s="661"/>
      <c r="AD961" s="661"/>
      <c r="AE961" s="661"/>
      <c r="AF961" s="661"/>
      <c r="AG961" s="661"/>
      <c r="AH961" s="661"/>
      <c r="AI961" s="661"/>
      <c r="AJ961" s="661"/>
      <c r="AK961" s="55"/>
      <c r="AL961" s="55"/>
      <c r="AM961" s="55"/>
    </row>
    <row r="962" spans="1:39" ht="14.1" customHeight="1">
      <c r="E962" s="54"/>
      <c r="F962" s="569" t="s">
        <v>244</v>
      </c>
      <c r="G962" s="569"/>
      <c r="H962" s="569"/>
      <c r="I962" s="569"/>
      <c r="J962" s="569"/>
      <c r="K962" s="569"/>
      <c r="L962" s="569"/>
      <c r="M962" s="569"/>
      <c r="N962" s="569"/>
      <c r="O962" s="569"/>
      <c r="P962" s="569"/>
      <c r="Q962" s="569"/>
      <c r="R962" s="569"/>
      <c r="S962" s="569"/>
      <c r="T962" s="569"/>
      <c r="U962" s="569"/>
      <c r="V962" s="569"/>
      <c r="W962" s="569"/>
      <c r="X962" s="569"/>
      <c r="Y962" s="569"/>
      <c r="Z962" s="569"/>
      <c r="AA962" s="569"/>
      <c r="AB962" s="569"/>
      <c r="AC962" s="569"/>
      <c r="AD962" s="569"/>
      <c r="AE962" s="569"/>
      <c r="AF962" s="569"/>
      <c r="AG962" s="569"/>
      <c r="AH962" s="569"/>
      <c r="AI962" s="569"/>
      <c r="AJ962" s="569"/>
      <c r="AK962" s="569"/>
      <c r="AL962" s="569"/>
      <c r="AM962" s="249"/>
    </row>
    <row r="963" spans="1:39">
      <c r="E963" s="54"/>
      <c r="F963" s="569"/>
      <c r="G963" s="569"/>
      <c r="H963" s="569"/>
      <c r="I963" s="569"/>
      <c r="J963" s="569"/>
      <c r="K963" s="569"/>
      <c r="L963" s="569"/>
      <c r="M963" s="569"/>
      <c r="N963" s="569"/>
      <c r="O963" s="569"/>
      <c r="P963" s="569"/>
      <c r="Q963" s="569"/>
      <c r="R963" s="569"/>
      <c r="S963" s="569"/>
      <c r="T963" s="569"/>
      <c r="U963" s="569"/>
      <c r="V963" s="569"/>
      <c r="W963" s="569"/>
      <c r="X963" s="569"/>
      <c r="Y963" s="569"/>
      <c r="Z963" s="569"/>
      <c r="AA963" s="569"/>
      <c r="AB963" s="569"/>
      <c r="AC963" s="569"/>
      <c r="AD963" s="569"/>
      <c r="AE963" s="569"/>
      <c r="AF963" s="569"/>
      <c r="AG963" s="569"/>
      <c r="AH963" s="569"/>
      <c r="AI963" s="569"/>
      <c r="AJ963" s="569"/>
      <c r="AK963" s="569"/>
      <c r="AL963" s="569"/>
      <c r="AM963" s="249"/>
    </row>
    <row r="964" spans="1:39" s="96" customFormat="1">
      <c r="A964" s="1"/>
      <c r="B964" s="1"/>
      <c r="C964" s="2"/>
      <c r="D964" s="1"/>
      <c r="E964" s="94"/>
      <c r="F964" s="569"/>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69"/>
      <c r="AL964" s="569"/>
      <c r="AM964" s="54"/>
    </row>
    <row r="965" spans="1:39" s="96" customFormat="1" ht="14.1" customHeight="1">
      <c r="A965" s="1"/>
      <c r="B965" s="1"/>
      <c r="C965" s="2"/>
      <c r="D965" s="1"/>
      <c r="E965" s="94"/>
      <c r="F965" s="569" t="s">
        <v>245</v>
      </c>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69"/>
      <c r="AL965" s="569"/>
      <c r="AM965" s="249"/>
    </row>
    <row r="966" spans="1:39" s="96" customFormat="1">
      <c r="A966" s="1"/>
      <c r="B966" s="1"/>
      <c r="C966" s="2"/>
      <c r="D966" s="1"/>
      <c r="E966" s="94"/>
      <c r="F966" s="569"/>
      <c r="G966" s="569"/>
      <c r="H966" s="569"/>
      <c r="I966" s="569"/>
      <c r="J966" s="569"/>
      <c r="K966" s="569"/>
      <c r="L966" s="569"/>
      <c r="M966" s="569"/>
      <c r="N966" s="569"/>
      <c r="O966" s="569"/>
      <c r="P966" s="569"/>
      <c r="Q966" s="569"/>
      <c r="R966" s="569"/>
      <c r="S966" s="569"/>
      <c r="T966" s="569"/>
      <c r="U966" s="569"/>
      <c r="V966" s="569"/>
      <c r="W966" s="569"/>
      <c r="X966" s="569"/>
      <c r="Y966" s="569"/>
      <c r="Z966" s="569"/>
      <c r="AA966" s="569"/>
      <c r="AB966" s="569"/>
      <c r="AC966" s="569"/>
      <c r="AD966" s="569"/>
      <c r="AE966" s="569"/>
      <c r="AF966" s="569"/>
      <c r="AG966" s="569"/>
      <c r="AH966" s="569"/>
      <c r="AI966" s="569"/>
      <c r="AJ966" s="569"/>
      <c r="AK966" s="569"/>
      <c r="AL966" s="569"/>
      <c r="AM966" s="249"/>
    </row>
    <row r="967" spans="1:39">
      <c r="E967" s="54"/>
    </row>
    <row r="968" spans="1:39" ht="14.1" customHeight="1">
      <c r="E968" s="54"/>
      <c r="F968" s="665" t="s">
        <v>486</v>
      </c>
      <c r="G968" s="665"/>
      <c r="H968" s="661" t="s">
        <v>71</v>
      </c>
      <c r="I968" s="661"/>
      <c r="J968" s="661"/>
      <c r="K968" s="661"/>
      <c r="L968" s="661"/>
      <c r="M968" s="661"/>
      <c r="N968" s="661"/>
      <c r="O968" s="661"/>
      <c r="P968" s="661"/>
      <c r="Q968" s="661"/>
      <c r="R968" s="661"/>
      <c r="S968" s="661"/>
      <c r="T968" s="661"/>
      <c r="U968" s="55"/>
      <c r="V968" s="55"/>
      <c r="W968" s="55"/>
      <c r="X968" s="55"/>
      <c r="Y968" s="55"/>
      <c r="Z968" s="55"/>
      <c r="AA968" s="55"/>
      <c r="AB968" s="55"/>
      <c r="AC968" s="55"/>
      <c r="AD968" s="55"/>
      <c r="AE968" s="55"/>
      <c r="AF968" s="55"/>
      <c r="AG968" s="55"/>
      <c r="AH968" s="55"/>
      <c r="AI968" s="55"/>
      <c r="AJ968" s="55"/>
      <c r="AK968" s="55"/>
      <c r="AL968" s="55"/>
      <c r="AM968" s="55"/>
    </row>
    <row r="969" spans="1:39" ht="14.1" customHeight="1">
      <c r="E969" s="54"/>
      <c r="F969" s="569" t="s">
        <v>246</v>
      </c>
      <c r="G969" s="569"/>
      <c r="H969" s="569"/>
      <c r="I969" s="569"/>
      <c r="J969" s="569"/>
      <c r="K969" s="569"/>
      <c r="L969" s="569"/>
      <c r="M969" s="569"/>
      <c r="N969" s="569"/>
      <c r="O969" s="569"/>
      <c r="P969" s="569"/>
      <c r="Q969" s="569"/>
      <c r="R969" s="569"/>
      <c r="S969" s="569"/>
      <c r="T969" s="569"/>
      <c r="U969" s="569"/>
      <c r="V969" s="569"/>
      <c r="W969" s="569"/>
      <c r="X969" s="569"/>
      <c r="Y969" s="569"/>
      <c r="Z969" s="569"/>
      <c r="AA969" s="569"/>
      <c r="AB969" s="569"/>
      <c r="AC969" s="569"/>
      <c r="AD969" s="569"/>
      <c r="AE969" s="569"/>
      <c r="AF969" s="569"/>
      <c r="AG969" s="569"/>
      <c r="AH969" s="569"/>
      <c r="AI969" s="569"/>
      <c r="AJ969" s="569"/>
      <c r="AK969" s="569"/>
      <c r="AL969" s="569"/>
      <c r="AM969" s="249"/>
    </row>
    <row r="970" spans="1:39">
      <c r="E970" s="54"/>
      <c r="F970" s="569"/>
      <c r="G970" s="569"/>
      <c r="H970" s="569"/>
      <c r="I970" s="569"/>
      <c r="J970" s="569"/>
      <c r="K970" s="569"/>
      <c r="L970" s="569"/>
      <c r="M970" s="569"/>
      <c r="N970" s="569"/>
      <c r="O970" s="569"/>
      <c r="P970" s="569"/>
      <c r="Q970" s="569"/>
      <c r="R970" s="569"/>
      <c r="S970" s="569"/>
      <c r="T970" s="569"/>
      <c r="U970" s="569"/>
      <c r="V970" s="569"/>
      <c r="W970" s="569"/>
      <c r="X970" s="569"/>
      <c r="Y970" s="569"/>
      <c r="Z970" s="569"/>
      <c r="AA970" s="569"/>
      <c r="AB970" s="569"/>
      <c r="AC970" s="569"/>
      <c r="AD970" s="569"/>
      <c r="AE970" s="569"/>
      <c r="AF970" s="569"/>
      <c r="AG970" s="569"/>
      <c r="AH970" s="569"/>
      <c r="AI970" s="569"/>
      <c r="AJ970" s="569"/>
      <c r="AK970" s="569"/>
      <c r="AL970" s="569"/>
      <c r="AM970" s="249"/>
    </row>
    <row r="971" spans="1:39" ht="24.75" customHeight="1">
      <c r="E971" s="54"/>
      <c r="F971" s="569"/>
      <c r="G971" s="569"/>
      <c r="H971" s="569"/>
      <c r="I971" s="569"/>
      <c r="J971" s="569"/>
      <c r="K971" s="569"/>
      <c r="L971" s="569"/>
      <c r="M971" s="569"/>
      <c r="N971" s="569"/>
      <c r="O971" s="569"/>
      <c r="P971" s="569"/>
      <c r="Q971" s="569"/>
      <c r="R971" s="569"/>
      <c r="S971" s="569"/>
      <c r="T971" s="569"/>
      <c r="U971" s="569"/>
      <c r="V971" s="569"/>
      <c r="W971" s="569"/>
      <c r="X971" s="569"/>
      <c r="Y971" s="569"/>
      <c r="Z971" s="569"/>
      <c r="AA971" s="569"/>
      <c r="AB971" s="569"/>
      <c r="AC971" s="569"/>
      <c r="AD971" s="569"/>
      <c r="AE971" s="569"/>
      <c r="AF971" s="569"/>
      <c r="AG971" s="569"/>
      <c r="AH971" s="569"/>
      <c r="AI971" s="569"/>
      <c r="AJ971" s="569"/>
      <c r="AK971" s="569"/>
      <c r="AL971" s="569"/>
      <c r="AM971" s="249"/>
    </row>
    <row r="972" spans="1:39" s="96" customFormat="1">
      <c r="A972" s="1"/>
      <c r="B972" s="1"/>
      <c r="C972" s="2"/>
      <c r="D972" s="1"/>
    </row>
    <row r="973" spans="1:39" hidden="1">
      <c r="F973" s="664" t="str">
        <f>F928</f>
        <v>2.15.</v>
      </c>
      <c r="G973" s="664"/>
      <c r="H973" s="666" t="s">
        <v>235</v>
      </c>
      <c r="I973" s="666"/>
      <c r="J973" s="666"/>
      <c r="K973" s="666"/>
      <c r="L973" s="666"/>
      <c r="M973" s="666"/>
      <c r="N973" s="666"/>
      <c r="O973" s="666"/>
      <c r="P973" s="666"/>
      <c r="Q973" s="666"/>
      <c r="R973" s="666"/>
      <c r="S973" s="666"/>
      <c r="T973" s="666"/>
      <c r="U973" s="666"/>
      <c r="V973" s="666"/>
      <c r="W973" s="666"/>
      <c r="X973" s="666"/>
      <c r="Y973" s="666"/>
      <c r="Z973" s="666"/>
      <c r="AA973" s="666"/>
      <c r="AB973" s="666"/>
      <c r="AC973" s="666"/>
      <c r="AD973" s="666"/>
      <c r="AE973" s="666"/>
      <c r="AF973" s="666"/>
      <c r="AG973" s="666"/>
      <c r="AH973" s="666"/>
      <c r="AI973" s="666"/>
      <c r="AJ973" s="666"/>
      <c r="AK973" s="666"/>
      <c r="AL973" s="666"/>
      <c r="AM973" s="666"/>
    </row>
    <row r="974" spans="1:39" ht="12.75" hidden="1" customHeight="1">
      <c r="E974" s="54"/>
      <c r="F974" s="655" t="s">
        <v>236</v>
      </c>
      <c r="G974" s="655"/>
      <c r="H974" s="655"/>
      <c r="I974" s="655"/>
      <c r="J974" s="655"/>
      <c r="K974" s="655"/>
      <c r="L974" s="655"/>
      <c r="M974" s="655"/>
      <c r="N974" s="655"/>
      <c r="O974" s="655"/>
      <c r="P974" s="655"/>
      <c r="Q974" s="655"/>
      <c r="R974" s="655"/>
      <c r="S974" s="655"/>
      <c r="T974" s="655"/>
      <c r="U974" s="655"/>
      <c r="V974" s="655"/>
      <c r="W974" s="655"/>
      <c r="X974" s="655"/>
      <c r="Y974" s="655"/>
      <c r="Z974" s="655"/>
      <c r="AA974" s="655"/>
      <c r="AB974" s="655"/>
      <c r="AC974" s="655"/>
      <c r="AD974" s="655"/>
      <c r="AE974" s="655"/>
      <c r="AF974" s="655"/>
      <c r="AG974" s="655"/>
      <c r="AH974" s="655"/>
      <c r="AI974" s="655"/>
      <c r="AJ974" s="655"/>
      <c r="AK974" s="655"/>
      <c r="AL974" s="655"/>
      <c r="AM974" s="655"/>
    </row>
    <row r="975" spans="1:39" hidden="1">
      <c r="E975" s="54"/>
      <c r="F975" s="655"/>
      <c r="G975" s="655"/>
      <c r="H975" s="655"/>
      <c r="I975" s="655"/>
      <c r="J975" s="655"/>
      <c r="K975" s="655"/>
      <c r="L975" s="655"/>
      <c r="M975" s="655"/>
      <c r="N975" s="655"/>
      <c r="O975" s="655"/>
      <c r="P975" s="655"/>
      <c r="Q975" s="655"/>
      <c r="R975" s="655"/>
      <c r="S975" s="655"/>
      <c r="T975" s="655"/>
      <c r="U975" s="655"/>
      <c r="V975" s="655"/>
      <c r="W975" s="655"/>
      <c r="X975" s="655"/>
      <c r="Y975" s="655"/>
      <c r="Z975" s="655"/>
      <c r="AA975" s="655"/>
      <c r="AB975" s="655"/>
      <c r="AC975" s="655"/>
      <c r="AD975" s="655"/>
      <c r="AE975" s="655"/>
      <c r="AF975" s="655"/>
      <c r="AG975" s="655"/>
      <c r="AH975" s="655"/>
      <c r="AI975" s="655"/>
      <c r="AJ975" s="655"/>
      <c r="AK975" s="655"/>
      <c r="AL975" s="655"/>
      <c r="AM975" s="655"/>
    </row>
    <row r="976" spans="1:39" hidden="1">
      <c r="E976" s="54"/>
      <c r="F976" s="655"/>
      <c r="G976" s="655"/>
      <c r="H976" s="655"/>
      <c r="I976" s="655"/>
      <c r="J976" s="655"/>
      <c r="K976" s="655"/>
      <c r="L976" s="655"/>
      <c r="M976" s="655"/>
      <c r="N976" s="655"/>
      <c r="O976" s="655"/>
      <c r="P976" s="655"/>
      <c r="Q976" s="655"/>
      <c r="R976" s="655"/>
      <c r="S976" s="655"/>
      <c r="T976" s="655"/>
      <c r="U976" s="655"/>
      <c r="V976" s="655"/>
      <c r="W976" s="655"/>
      <c r="X976" s="655"/>
      <c r="Y976" s="655"/>
      <c r="Z976" s="655"/>
      <c r="AA976" s="655"/>
      <c r="AB976" s="655"/>
      <c r="AC976" s="655"/>
      <c r="AD976" s="655"/>
      <c r="AE976" s="655"/>
      <c r="AF976" s="655"/>
      <c r="AG976" s="655"/>
      <c r="AH976" s="655"/>
      <c r="AI976" s="655"/>
      <c r="AJ976" s="655"/>
      <c r="AK976" s="655"/>
      <c r="AL976" s="655"/>
      <c r="AM976" s="655"/>
    </row>
    <row r="977" spans="4:39" ht="12.75" hidden="1" customHeight="1">
      <c r="E977" s="54"/>
      <c r="F977" s="655" t="s">
        <v>240</v>
      </c>
      <c r="G977" s="655"/>
      <c r="H977" s="655"/>
      <c r="I977" s="655"/>
      <c r="J977" s="655"/>
      <c r="K977" s="655"/>
      <c r="L977" s="655"/>
      <c r="M977" s="655"/>
      <c r="N977" s="655"/>
      <c r="O977" s="655"/>
      <c r="P977" s="655"/>
      <c r="Q977" s="655"/>
      <c r="R977" s="655"/>
      <c r="S977" s="655"/>
      <c r="T977" s="655"/>
      <c r="U977" s="655"/>
      <c r="V977" s="655"/>
      <c r="W977" s="655"/>
      <c r="X977" s="655"/>
      <c r="Y977" s="655"/>
      <c r="Z977" s="655"/>
      <c r="AA977" s="655"/>
      <c r="AB977" s="655"/>
      <c r="AC977" s="655"/>
      <c r="AD977" s="655"/>
      <c r="AE977" s="655"/>
      <c r="AF977" s="655"/>
      <c r="AG977" s="655"/>
      <c r="AH977" s="655"/>
      <c r="AI977" s="655"/>
      <c r="AJ977" s="655"/>
      <c r="AK977" s="655"/>
      <c r="AL977" s="655"/>
      <c r="AM977" s="655"/>
    </row>
    <row r="978" spans="4:39" hidden="1">
      <c r="E978" s="54"/>
      <c r="F978" s="655"/>
      <c r="G978" s="655"/>
      <c r="H978" s="655"/>
      <c r="I978" s="655"/>
      <c r="J978" s="655"/>
      <c r="K978" s="655"/>
      <c r="L978" s="655"/>
      <c r="M978" s="655"/>
      <c r="N978" s="655"/>
      <c r="O978" s="655"/>
      <c r="P978" s="655"/>
      <c r="Q978" s="655"/>
      <c r="R978" s="655"/>
      <c r="S978" s="655"/>
      <c r="T978" s="655"/>
      <c r="U978" s="655"/>
      <c r="V978" s="655"/>
      <c r="W978" s="655"/>
      <c r="X978" s="655"/>
      <c r="Y978" s="655"/>
      <c r="Z978" s="655"/>
      <c r="AA978" s="655"/>
      <c r="AB978" s="655"/>
      <c r="AC978" s="655"/>
      <c r="AD978" s="655"/>
      <c r="AE978" s="655"/>
      <c r="AF978" s="655"/>
      <c r="AG978" s="655"/>
      <c r="AH978" s="655"/>
      <c r="AI978" s="655"/>
      <c r="AJ978" s="655"/>
      <c r="AK978" s="655"/>
      <c r="AL978" s="655"/>
      <c r="AM978" s="655"/>
    </row>
    <row r="979" spans="4:39" hidden="1">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c r="AF979" s="54"/>
      <c r="AG979" s="54"/>
      <c r="AH979" s="54"/>
      <c r="AI979" s="54"/>
      <c r="AJ979" s="54"/>
      <c r="AK979" s="54"/>
      <c r="AL979" s="54"/>
      <c r="AM979" s="54"/>
    </row>
    <row r="980" spans="4:39" hidden="1">
      <c r="E980" s="54"/>
      <c r="F980" s="670" t="s">
        <v>241</v>
      </c>
      <c r="G980" s="670"/>
      <c r="H980" s="670"/>
      <c r="I980" s="670"/>
      <c r="J980" s="670"/>
      <c r="K980" s="670"/>
      <c r="L980" s="670"/>
      <c r="M980" s="670"/>
      <c r="N980" s="670"/>
      <c r="O980" s="670"/>
      <c r="P980" s="670"/>
      <c r="Q980" s="670"/>
      <c r="R980" s="670"/>
      <c r="S980" s="670"/>
      <c r="T980" s="670"/>
      <c r="U980" s="670"/>
      <c r="V980" s="670"/>
      <c r="W980" s="670"/>
      <c r="X980" s="670"/>
      <c r="Y980" s="670"/>
      <c r="Z980" s="670"/>
      <c r="AA980" s="670"/>
      <c r="AB980" s="670"/>
      <c r="AC980" s="670"/>
      <c r="AD980" s="670"/>
      <c r="AE980" s="670"/>
      <c r="AF980" s="670"/>
      <c r="AG980" s="670"/>
      <c r="AH980" s="670"/>
      <c r="AI980" s="670"/>
      <c r="AJ980" s="670"/>
      <c r="AK980" s="670"/>
      <c r="AL980" s="670"/>
      <c r="AM980" s="670"/>
    </row>
    <row r="981" spans="4:39" hidden="1">
      <c r="E981" s="54"/>
      <c r="F981" s="670"/>
      <c r="G981" s="670"/>
      <c r="H981" s="670"/>
      <c r="I981" s="670"/>
      <c r="J981" s="670"/>
      <c r="K981" s="670"/>
      <c r="L981" s="670"/>
      <c r="M981" s="670"/>
      <c r="N981" s="670"/>
      <c r="O981" s="670"/>
      <c r="P981" s="670"/>
      <c r="Q981" s="670"/>
      <c r="R981" s="670"/>
      <c r="S981" s="670"/>
      <c r="T981" s="670"/>
      <c r="U981" s="670"/>
      <c r="V981" s="670"/>
      <c r="W981" s="670"/>
      <c r="X981" s="670"/>
      <c r="Y981" s="670"/>
      <c r="Z981" s="670"/>
      <c r="AA981" s="670"/>
      <c r="AB981" s="670"/>
      <c r="AC981" s="670"/>
      <c r="AD981" s="670"/>
      <c r="AE981" s="670"/>
      <c r="AF981" s="670"/>
      <c r="AG981" s="670"/>
      <c r="AH981" s="670"/>
      <c r="AI981" s="670"/>
      <c r="AJ981" s="670"/>
      <c r="AK981" s="670"/>
      <c r="AL981" s="670"/>
      <c r="AM981" s="670"/>
    </row>
    <row r="982" spans="4:39" hidden="1">
      <c r="E982" s="54"/>
      <c r="F982" s="670"/>
      <c r="G982" s="670"/>
      <c r="H982" s="670"/>
      <c r="I982" s="670"/>
      <c r="J982" s="670"/>
      <c r="K982" s="670"/>
      <c r="L982" s="670"/>
      <c r="M982" s="670"/>
      <c r="N982" s="670"/>
      <c r="O982" s="670"/>
      <c r="P982" s="670"/>
      <c r="Q982" s="670"/>
      <c r="R982" s="670"/>
      <c r="S982" s="670"/>
      <c r="T982" s="670"/>
      <c r="U982" s="670"/>
      <c r="V982" s="670"/>
      <c r="W982" s="670"/>
      <c r="X982" s="670"/>
      <c r="Y982" s="670"/>
      <c r="Z982" s="670"/>
      <c r="AA982" s="670"/>
      <c r="AB982" s="670"/>
      <c r="AC982" s="670"/>
      <c r="AD982" s="670"/>
      <c r="AE982" s="670"/>
      <c r="AF982" s="670"/>
      <c r="AG982" s="670"/>
      <c r="AH982" s="670"/>
      <c r="AI982" s="670"/>
      <c r="AJ982" s="670"/>
      <c r="AK982" s="670"/>
      <c r="AL982" s="670"/>
      <c r="AM982" s="670"/>
    </row>
    <row r="983" spans="4:39" hidden="1">
      <c r="E983" s="54"/>
      <c r="F983" s="670"/>
      <c r="G983" s="670"/>
      <c r="H983" s="670"/>
      <c r="I983" s="670"/>
      <c r="J983" s="670"/>
      <c r="K983" s="670"/>
      <c r="L983" s="670"/>
      <c r="M983" s="670"/>
      <c r="N983" s="670"/>
      <c r="O983" s="670"/>
      <c r="P983" s="670"/>
      <c r="Q983" s="670"/>
      <c r="R983" s="670"/>
      <c r="S983" s="670"/>
      <c r="T983" s="670"/>
      <c r="U983" s="670"/>
      <c r="V983" s="670"/>
      <c r="W983" s="670"/>
      <c r="X983" s="670"/>
      <c r="Y983" s="670"/>
      <c r="Z983" s="670"/>
      <c r="AA983" s="670"/>
      <c r="AB983" s="670"/>
      <c r="AC983" s="670"/>
      <c r="AD983" s="670"/>
      <c r="AE983" s="670"/>
      <c r="AF983" s="670"/>
      <c r="AG983" s="670"/>
      <c r="AH983" s="670"/>
      <c r="AI983" s="670"/>
      <c r="AJ983" s="670"/>
      <c r="AK983" s="670"/>
      <c r="AL983" s="670"/>
      <c r="AM983" s="670"/>
    </row>
    <row r="984" spans="4:39" hidden="1">
      <c r="E984" s="54"/>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row>
    <row r="985" spans="4:39" hidden="1">
      <c r="E985" s="54"/>
      <c r="F985" s="670" t="s">
        <v>242</v>
      </c>
      <c r="G985" s="670"/>
      <c r="H985" s="670"/>
      <c r="I985" s="670"/>
      <c r="J985" s="670"/>
      <c r="K985" s="670"/>
      <c r="L985" s="670"/>
      <c r="M985" s="670"/>
      <c r="N985" s="670"/>
      <c r="O985" s="670"/>
      <c r="P985" s="670"/>
      <c r="Q985" s="670"/>
      <c r="R985" s="670"/>
      <c r="S985" s="670"/>
      <c r="T985" s="670"/>
      <c r="U985" s="670"/>
      <c r="V985" s="670"/>
      <c r="W985" s="670"/>
      <c r="X985" s="670"/>
      <c r="Y985" s="670"/>
      <c r="Z985" s="670"/>
      <c r="AA985" s="670"/>
      <c r="AB985" s="670"/>
      <c r="AC985" s="670"/>
      <c r="AD985" s="670"/>
      <c r="AE985" s="670"/>
      <c r="AF985" s="670"/>
      <c r="AG985" s="670"/>
      <c r="AH985" s="670"/>
      <c r="AI985" s="670"/>
      <c r="AJ985" s="670"/>
      <c r="AK985" s="670"/>
      <c r="AL985" s="670"/>
      <c r="AM985" s="670"/>
    </row>
    <row r="986" spans="4:39" hidden="1">
      <c r="E986" s="54"/>
      <c r="F986" s="670"/>
      <c r="G986" s="670"/>
      <c r="H986" s="670"/>
      <c r="I986" s="670"/>
      <c r="J986" s="670"/>
      <c r="K986" s="670"/>
      <c r="L986" s="670"/>
      <c r="M986" s="670"/>
      <c r="N986" s="670"/>
      <c r="O986" s="670"/>
      <c r="P986" s="670"/>
      <c r="Q986" s="670"/>
      <c r="R986" s="670"/>
      <c r="S986" s="670"/>
      <c r="T986" s="670"/>
      <c r="U986" s="670"/>
      <c r="V986" s="670"/>
      <c r="W986" s="670"/>
      <c r="X986" s="670"/>
      <c r="Y986" s="670"/>
      <c r="Z986" s="670"/>
      <c r="AA986" s="670"/>
      <c r="AB986" s="670"/>
      <c r="AC986" s="670"/>
      <c r="AD986" s="670"/>
      <c r="AE986" s="670"/>
      <c r="AF986" s="670"/>
      <c r="AG986" s="670"/>
      <c r="AH986" s="670"/>
      <c r="AI986" s="670"/>
      <c r="AJ986" s="670"/>
      <c r="AK986" s="670"/>
      <c r="AL986" s="670"/>
      <c r="AM986" s="670"/>
    </row>
    <row r="987" spans="4:39" hidden="1">
      <c r="E987" s="54"/>
      <c r="F987" s="670"/>
      <c r="G987" s="670"/>
      <c r="H987" s="670"/>
      <c r="I987" s="670"/>
      <c r="J987" s="670"/>
      <c r="K987" s="670"/>
      <c r="L987" s="670"/>
      <c r="M987" s="670"/>
      <c r="N987" s="670"/>
      <c r="O987" s="670"/>
      <c r="P987" s="670"/>
      <c r="Q987" s="670"/>
      <c r="R987" s="670"/>
      <c r="S987" s="670"/>
      <c r="T987" s="670"/>
      <c r="U987" s="670"/>
      <c r="V987" s="670"/>
      <c r="W987" s="670"/>
      <c r="X987" s="670"/>
      <c r="Y987" s="670"/>
      <c r="Z987" s="670"/>
      <c r="AA987" s="670"/>
      <c r="AB987" s="670"/>
      <c r="AC987" s="670"/>
      <c r="AD987" s="670"/>
      <c r="AE987" s="670"/>
      <c r="AF987" s="670"/>
      <c r="AG987" s="670"/>
      <c r="AH987" s="670"/>
      <c r="AI987" s="670"/>
      <c r="AJ987" s="670"/>
      <c r="AK987" s="670"/>
      <c r="AL987" s="670"/>
      <c r="AM987" s="670"/>
    </row>
    <row r="988" spans="4:39" hidden="1">
      <c r="E988" s="54"/>
      <c r="F988" s="670"/>
      <c r="G988" s="670"/>
      <c r="H988" s="670"/>
      <c r="I988" s="670"/>
      <c r="J988" s="670"/>
      <c r="K988" s="670"/>
      <c r="L988" s="670"/>
      <c r="M988" s="670"/>
      <c r="N988" s="670"/>
      <c r="O988" s="670"/>
      <c r="P988" s="670"/>
      <c r="Q988" s="670"/>
      <c r="R988" s="670"/>
      <c r="S988" s="670"/>
      <c r="T988" s="670"/>
      <c r="U988" s="670"/>
      <c r="V988" s="670"/>
      <c r="W988" s="670"/>
      <c r="X988" s="670"/>
      <c r="Y988" s="670"/>
      <c r="Z988" s="670"/>
      <c r="AA988" s="670"/>
      <c r="AB988" s="670"/>
      <c r="AC988" s="670"/>
      <c r="AD988" s="670"/>
      <c r="AE988" s="670"/>
      <c r="AF988" s="670"/>
      <c r="AG988" s="670"/>
      <c r="AH988" s="670"/>
      <c r="AI988" s="670"/>
      <c r="AJ988" s="670"/>
      <c r="AK988" s="670"/>
      <c r="AL988" s="670"/>
      <c r="AM988" s="670"/>
    </row>
    <row r="989" spans="4:39" ht="12.75" customHeight="1">
      <c r="D989" s="1">
        <v>20</v>
      </c>
      <c r="E989" s="54"/>
      <c r="F989" s="665" t="s">
        <v>1462</v>
      </c>
      <c r="G989" s="665"/>
      <c r="H989" s="661" t="s">
        <v>247</v>
      </c>
      <c r="I989" s="661"/>
      <c r="J989" s="661"/>
      <c r="K989" s="661"/>
      <c r="L989" s="661"/>
      <c r="M989" s="661"/>
      <c r="N989" s="661"/>
      <c r="O989" s="661"/>
      <c r="P989" s="661"/>
      <c r="Q989" s="661"/>
      <c r="R989" s="661"/>
      <c r="S989" s="661"/>
      <c r="T989" s="661"/>
      <c r="U989" s="661"/>
      <c r="V989" s="55"/>
      <c r="W989" s="55"/>
      <c r="X989" s="55"/>
      <c r="Y989" s="55"/>
      <c r="Z989" s="55"/>
      <c r="AA989" s="55"/>
      <c r="AB989" s="55"/>
      <c r="AC989" s="55"/>
      <c r="AD989" s="55"/>
      <c r="AE989" s="55"/>
      <c r="AF989" s="55"/>
      <c r="AG989" s="55"/>
      <c r="AH989" s="55"/>
      <c r="AI989" s="55"/>
      <c r="AJ989" s="55"/>
      <c r="AK989" s="55"/>
      <c r="AL989" s="55"/>
      <c r="AM989" s="55"/>
    </row>
    <row r="990" spans="4:39" ht="14.1" customHeight="1">
      <c r="E990" s="54"/>
      <c r="F990" s="569" t="s">
        <v>1380</v>
      </c>
      <c r="G990" s="569"/>
      <c r="H990" s="569"/>
      <c r="I990" s="569"/>
      <c r="J990" s="569"/>
      <c r="K990" s="569"/>
      <c r="L990" s="569"/>
      <c r="M990" s="569"/>
      <c r="N990" s="569"/>
      <c r="O990" s="569"/>
      <c r="P990" s="569"/>
      <c r="Q990" s="569"/>
      <c r="R990" s="569"/>
      <c r="S990" s="569"/>
      <c r="T990" s="569"/>
      <c r="U990" s="569"/>
      <c r="V990" s="569"/>
      <c r="W990" s="569"/>
      <c r="X990" s="569"/>
      <c r="Y990" s="569"/>
      <c r="Z990" s="569"/>
      <c r="AA990" s="569"/>
      <c r="AB990" s="569"/>
      <c r="AC990" s="569"/>
      <c r="AD990" s="569"/>
      <c r="AE990" s="569"/>
      <c r="AF990" s="569"/>
      <c r="AG990" s="569"/>
      <c r="AH990" s="569"/>
      <c r="AI990" s="569"/>
      <c r="AJ990" s="569"/>
      <c r="AK990" s="569"/>
      <c r="AL990" s="569"/>
      <c r="AM990" s="249"/>
    </row>
    <row r="991" spans="4:39">
      <c r="E991" s="54"/>
      <c r="F991" s="569"/>
      <c r="G991" s="569"/>
      <c r="H991" s="569"/>
      <c r="I991" s="569"/>
      <c r="J991" s="569"/>
      <c r="K991" s="569"/>
      <c r="L991" s="569"/>
      <c r="M991" s="569"/>
      <c r="N991" s="569"/>
      <c r="O991" s="569"/>
      <c r="P991" s="569"/>
      <c r="Q991" s="569"/>
      <c r="R991" s="569"/>
      <c r="S991" s="569"/>
      <c r="T991" s="569"/>
      <c r="U991" s="569"/>
      <c r="V991" s="569"/>
      <c r="W991" s="569"/>
      <c r="X991" s="569"/>
      <c r="Y991" s="569"/>
      <c r="Z991" s="569"/>
      <c r="AA991" s="569"/>
      <c r="AB991" s="569"/>
      <c r="AC991" s="569"/>
      <c r="AD991" s="569"/>
      <c r="AE991" s="569"/>
      <c r="AF991" s="569"/>
      <c r="AG991" s="569"/>
      <c r="AH991" s="569"/>
      <c r="AI991" s="569"/>
      <c r="AJ991" s="569"/>
      <c r="AK991" s="569"/>
      <c r="AL991" s="569"/>
      <c r="AM991" s="249"/>
    </row>
    <row r="992" spans="4:39">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c r="AF992" s="54"/>
      <c r="AG992" s="54"/>
      <c r="AH992" s="54"/>
      <c r="AI992" s="54"/>
      <c r="AJ992" s="54"/>
      <c r="AK992" s="54"/>
      <c r="AL992" s="54"/>
      <c r="AM992" s="54"/>
    </row>
    <row r="993" spans="5:39" ht="12.75" customHeight="1">
      <c r="E993" s="54"/>
      <c r="F993" s="569" t="s">
        <v>248</v>
      </c>
      <c r="G993" s="569"/>
      <c r="H993" s="569"/>
      <c r="I993" s="569"/>
      <c r="J993" s="569"/>
      <c r="K993" s="569"/>
      <c r="L993" s="569"/>
      <c r="M993" s="569"/>
      <c r="N993" s="569"/>
      <c r="O993" s="569"/>
      <c r="P993" s="569"/>
      <c r="Q993" s="569"/>
      <c r="R993" s="569"/>
      <c r="S993" s="569"/>
      <c r="T993" s="569"/>
      <c r="U993" s="569"/>
      <c r="V993" s="569"/>
      <c r="W993" s="569"/>
      <c r="X993" s="569"/>
      <c r="Y993" s="569"/>
      <c r="Z993" s="569"/>
      <c r="AA993" s="569"/>
      <c r="AB993" s="569"/>
      <c r="AC993" s="569"/>
      <c r="AD993" s="569"/>
      <c r="AE993" s="569"/>
      <c r="AF993" s="569"/>
      <c r="AG993" s="569"/>
      <c r="AH993" s="569"/>
      <c r="AI993" s="569"/>
      <c r="AJ993" s="569"/>
      <c r="AK993" s="569"/>
      <c r="AL993" s="569"/>
      <c r="AM993" s="249"/>
    </row>
    <row r="994" spans="5:39">
      <c r="E994" s="54"/>
      <c r="F994" s="569"/>
      <c r="G994" s="569"/>
      <c r="H994" s="569"/>
      <c r="I994" s="569"/>
      <c r="J994" s="569"/>
      <c r="K994" s="569"/>
      <c r="L994" s="569"/>
      <c r="M994" s="569"/>
      <c r="N994" s="569"/>
      <c r="O994" s="569"/>
      <c r="P994" s="569"/>
      <c r="Q994" s="569"/>
      <c r="R994" s="569"/>
      <c r="S994" s="569"/>
      <c r="T994" s="569"/>
      <c r="U994" s="569"/>
      <c r="V994" s="569"/>
      <c r="W994" s="569"/>
      <c r="X994" s="569"/>
      <c r="Y994" s="569"/>
      <c r="Z994" s="569"/>
      <c r="AA994" s="569"/>
      <c r="AB994" s="569"/>
      <c r="AC994" s="569"/>
      <c r="AD994" s="569"/>
      <c r="AE994" s="569"/>
      <c r="AF994" s="569"/>
      <c r="AG994" s="569"/>
      <c r="AH994" s="569"/>
      <c r="AI994" s="569"/>
      <c r="AJ994" s="569"/>
      <c r="AK994" s="569"/>
      <c r="AL994" s="569"/>
      <c r="AM994" s="249"/>
    </row>
    <row r="995" spans="5:39">
      <c r="E995" s="54"/>
      <c r="F995" s="569"/>
      <c r="G995" s="569"/>
      <c r="H995" s="569"/>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69"/>
      <c r="AL995" s="569"/>
      <c r="AM995" s="249"/>
    </row>
    <row r="996" spans="5:39">
      <c r="E996" s="54"/>
      <c r="F996" s="569"/>
      <c r="G996" s="569"/>
      <c r="H996" s="569"/>
      <c r="I996" s="569"/>
      <c r="J996" s="569"/>
      <c r="K996" s="569"/>
      <c r="L996" s="569"/>
      <c r="M996" s="569"/>
      <c r="N996" s="569"/>
      <c r="O996" s="569"/>
      <c r="P996" s="569"/>
      <c r="Q996" s="569"/>
      <c r="R996" s="569"/>
      <c r="S996" s="569"/>
      <c r="T996" s="569"/>
      <c r="U996" s="569"/>
      <c r="V996" s="569"/>
      <c r="W996" s="569"/>
      <c r="X996" s="569"/>
      <c r="Y996" s="569"/>
      <c r="Z996" s="569"/>
      <c r="AA996" s="569"/>
      <c r="AB996" s="569"/>
      <c r="AC996" s="569"/>
      <c r="AD996" s="569"/>
      <c r="AE996" s="569"/>
      <c r="AF996" s="569"/>
      <c r="AG996" s="569"/>
      <c r="AH996" s="569"/>
      <c r="AI996" s="569"/>
      <c r="AJ996" s="569"/>
      <c r="AK996" s="569"/>
      <c r="AL996" s="569"/>
      <c r="AM996" s="249"/>
    </row>
    <row r="997" spans="5:39">
      <c r="E997" s="54"/>
      <c r="F997" s="569"/>
      <c r="G997" s="569"/>
      <c r="H997" s="569"/>
      <c r="I997" s="569"/>
      <c r="J997" s="569"/>
      <c r="K997" s="569"/>
      <c r="L997" s="569"/>
      <c r="M997" s="569"/>
      <c r="N997" s="569"/>
      <c r="O997" s="569"/>
      <c r="P997" s="569"/>
      <c r="Q997" s="569"/>
      <c r="R997" s="569"/>
      <c r="S997" s="569"/>
      <c r="T997" s="569"/>
      <c r="U997" s="569"/>
      <c r="V997" s="569"/>
      <c r="W997" s="569"/>
      <c r="X997" s="569"/>
      <c r="Y997" s="569"/>
      <c r="Z997" s="569"/>
      <c r="AA997" s="569"/>
      <c r="AB997" s="569"/>
      <c r="AC997" s="569"/>
      <c r="AD997" s="569"/>
      <c r="AE997" s="569"/>
      <c r="AF997" s="569"/>
      <c r="AG997" s="569"/>
      <c r="AH997" s="569"/>
      <c r="AI997" s="569"/>
      <c r="AJ997" s="569"/>
      <c r="AK997" s="569"/>
      <c r="AL997" s="569"/>
      <c r="AM997" s="249"/>
    </row>
    <row r="998" spans="5:39" ht="27.75" customHeight="1">
      <c r="E998" s="54"/>
      <c r="F998" s="569"/>
      <c r="G998" s="569"/>
      <c r="H998" s="569"/>
      <c r="I998" s="569"/>
      <c r="J998" s="569"/>
      <c r="K998" s="569"/>
      <c r="L998" s="569"/>
      <c r="M998" s="569"/>
      <c r="N998" s="569"/>
      <c r="O998" s="569"/>
      <c r="P998" s="569"/>
      <c r="Q998" s="569"/>
      <c r="R998" s="569"/>
      <c r="S998" s="569"/>
      <c r="T998" s="569"/>
      <c r="U998" s="569"/>
      <c r="V998" s="569"/>
      <c r="W998" s="569"/>
      <c r="X998" s="569"/>
      <c r="Y998" s="569"/>
      <c r="Z998" s="569"/>
      <c r="AA998" s="569"/>
      <c r="AB998" s="569"/>
      <c r="AC998" s="569"/>
      <c r="AD998" s="569"/>
      <c r="AE998" s="569"/>
      <c r="AF998" s="569"/>
      <c r="AG998" s="569"/>
      <c r="AH998" s="569"/>
      <c r="AI998" s="569"/>
      <c r="AJ998" s="569"/>
      <c r="AK998" s="569"/>
      <c r="AL998" s="569"/>
      <c r="AM998" s="249"/>
    </row>
    <row r="999" spans="5:39">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c r="AE999" s="54"/>
      <c r="AF999" s="54"/>
      <c r="AG999" s="54"/>
      <c r="AH999" s="54"/>
      <c r="AI999" s="54"/>
      <c r="AJ999" s="54"/>
      <c r="AK999" s="54"/>
      <c r="AL999" s="54"/>
      <c r="AM999" s="54"/>
    </row>
    <row r="1000" spans="5:39" ht="12.75" customHeight="1">
      <c r="E1000" s="54"/>
      <c r="F1000" s="664" t="s">
        <v>0</v>
      </c>
      <c r="G1000" s="664"/>
      <c r="H1000" s="661" t="s">
        <v>249</v>
      </c>
      <c r="I1000" s="661"/>
      <c r="J1000" s="661"/>
      <c r="K1000" s="661"/>
      <c r="L1000" s="661"/>
      <c r="M1000" s="661"/>
      <c r="N1000" s="661"/>
      <c r="O1000" s="661"/>
      <c r="P1000" s="661"/>
      <c r="Q1000" s="661"/>
      <c r="R1000" s="661"/>
      <c r="S1000" s="661"/>
      <c r="T1000" s="661"/>
      <c r="U1000" s="661"/>
      <c r="V1000" s="661"/>
      <c r="W1000" s="661"/>
      <c r="X1000" s="661"/>
      <c r="Y1000" s="661"/>
      <c r="Z1000" s="661"/>
      <c r="AA1000" s="661"/>
      <c r="AB1000" s="661"/>
      <c r="AC1000" s="661"/>
      <c r="AD1000" s="661"/>
      <c r="AE1000" s="661"/>
      <c r="AF1000" s="661"/>
      <c r="AG1000" s="661"/>
      <c r="AH1000" s="55"/>
      <c r="AI1000" s="55"/>
      <c r="AJ1000" s="55"/>
      <c r="AK1000" s="55"/>
      <c r="AL1000" s="55"/>
      <c r="AM1000" s="55"/>
    </row>
    <row r="1001" spans="5:39">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c r="AA1001" s="54"/>
      <c r="AB1001" s="54"/>
      <c r="AC1001" s="54"/>
      <c r="AD1001" s="54"/>
      <c r="AE1001" s="54"/>
      <c r="AF1001" s="54"/>
      <c r="AG1001" s="54"/>
      <c r="AH1001" s="54"/>
      <c r="AI1001" s="54"/>
      <c r="AJ1001" s="54"/>
      <c r="AK1001" s="54"/>
      <c r="AL1001" s="54"/>
      <c r="AM1001" s="54"/>
    </row>
    <row r="1002" spans="5:39" ht="12.75" customHeight="1">
      <c r="E1002" s="54"/>
      <c r="F1002" s="569" t="s">
        <v>250</v>
      </c>
      <c r="G1002" s="569"/>
      <c r="H1002" s="569"/>
      <c r="I1002" s="569"/>
      <c r="J1002" s="569"/>
      <c r="K1002" s="569"/>
      <c r="L1002" s="569"/>
      <c r="M1002" s="569"/>
      <c r="N1002" s="569"/>
      <c r="O1002" s="569"/>
      <c r="P1002" s="569"/>
      <c r="Q1002" s="569"/>
      <c r="R1002" s="569"/>
      <c r="S1002" s="569"/>
      <c r="T1002" s="569"/>
      <c r="U1002" s="569"/>
      <c r="V1002" s="569"/>
      <c r="W1002" s="569"/>
      <c r="X1002" s="569"/>
      <c r="Y1002" s="569"/>
      <c r="Z1002" s="569"/>
      <c r="AA1002" s="569"/>
      <c r="AB1002" s="569"/>
      <c r="AC1002" s="569"/>
      <c r="AD1002" s="569"/>
      <c r="AE1002" s="569"/>
      <c r="AF1002" s="569"/>
      <c r="AG1002" s="569"/>
      <c r="AH1002" s="569"/>
      <c r="AI1002" s="569"/>
      <c r="AJ1002" s="569"/>
      <c r="AK1002" s="569"/>
      <c r="AL1002" s="569"/>
      <c r="AM1002" s="249"/>
    </row>
    <row r="1003" spans="5:39">
      <c r="E1003" s="54"/>
      <c r="F1003" s="569"/>
      <c r="G1003" s="569"/>
      <c r="H1003" s="569"/>
      <c r="I1003" s="569"/>
      <c r="J1003" s="569"/>
      <c r="K1003" s="569"/>
      <c r="L1003" s="569"/>
      <c r="M1003" s="569"/>
      <c r="N1003" s="569"/>
      <c r="O1003" s="569"/>
      <c r="P1003" s="569"/>
      <c r="Q1003" s="569"/>
      <c r="R1003" s="569"/>
      <c r="S1003" s="569"/>
      <c r="T1003" s="569"/>
      <c r="U1003" s="569"/>
      <c r="V1003" s="569"/>
      <c r="W1003" s="569"/>
      <c r="X1003" s="569"/>
      <c r="Y1003" s="569"/>
      <c r="Z1003" s="569"/>
      <c r="AA1003" s="569"/>
      <c r="AB1003" s="569"/>
      <c r="AC1003" s="569"/>
      <c r="AD1003" s="569"/>
      <c r="AE1003" s="569"/>
      <c r="AF1003" s="569"/>
      <c r="AG1003" s="569"/>
      <c r="AH1003" s="569"/>
      <c r="AI1003" s="569"/>
      <c r="AJ1003" s="569"/>
      <c r="AK1003" s="569"/>
      <c r="AL1003" s="569"/>
      <c r="AM1003" s="249"/>
    </row>
    <row r="1004" spans="5:39">
      <c r="E1004" s="54"/>
      <c r="F1004" s="569"/>
      <c r="G1004" s="569"/>
      <c r="H1004" s="569"/>
      <c r="I1004" s="569"/>
      <c r="J1004" s="569"/>
      <c r="K1004" s="569"/>
      <c r="L1004" s="569"/>
      <c r="M1004" s="569"/>
      <c r="N1004" s="569"/>
      <c r="O1004" s="569"/>
      <c r="P1004" s="569"/>
      <c r="Q1004" s="569"/>
      <c r="R1004" s="569"/>
      <c r="S1004" s="569"/>
      <c r="T1004" s="569"/>
      <c r="U1004" s="569"/>
      <c r="V1004" s="569"/>
      <c r="W1004" s="569"/>
      <c r="X1004" s="569"/>
      <c r="Y1004" s="569"/>
      <c r="Z1004" s="569"/>
      <c r="AA1004" s="569"/>
      <c r="AB1004" s="569"/>
      <c r="AC1004" s="569"/>
      <c r="AD1004" s="569"/>
      <c r="AE1004" s="569"/>
      <c r="AF1004" s="569"/>
      <c r="AG1004" s="569"/>
      <c r="AH1004" s="569"/>
      <c r="AI1004" s="569"/>
      <c r="AJ1004" s="569"/>
      <c r="AK1004" s="569"/>
      <c r="AL1004" s="569"/>
      <c r="AM1004" s="249"/>
    </row>
    <row r="1005" spans="5:39">
      <c r="E1005" s="54"/>
      <c r="F1005" s="569"/>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69"/>
      <c r="AL1005" s="569"/>
      <c r="AM1005" s="249"/>
    </row>
    <row r="1006" spans="5:39">
      <c r="E1006" s="54"/>
      <c r="F1006" s="54"/>
      <c r="G1006" s="54"/>
      <c r="H1006" s="54"/>
      <c r="I1006" s="54"/>
      <c r="J1006" s="54"/>
      <c r="K1006" s="54"/>
      <c r="L1006" s="54"/>
      <c r="M1006" s="54"/>
      <c r="N1006" s="54"/>
      <c r="O1006" s="54"/>
      <c r="P1006" s="54"/>
      <c r="Q1006" s="54"/>
      <c r="R1006" s="54"/>
      <c r="S1006" s="54"/>
      <c r="T1006" s="54"/>
      <c r="U1006" s="54"/>
      <c r="V1006" s="54"/>
      <c r="W1006" s="54"/>
      <c r="X1006" s="54"/>
      <c r="Y1006" s="54"/>
      <c r="Z1006" s="54"/>
      <c r="AA1006" s="54"/>
      <c r="AB1006" s="54"/>
      <c r="AC1006" s="54"/>
      <c r="AD1006" s="54"/>
      <c r="AE1006" s="54"/>
      <c r="AF1006" s="54"/>
      <c r="AG1006" s="54"/>
      <c r="AH1006" s="54"/>
      <c r="AI1006" s="54"/>
      <c r="AJ1006" s="54"/>
      <c r="AK1006" s="54"/>
      <c r="AL1006" s="54"/>
      <c r="AM1006" s="54"/>
    </row>
    <row r="1007" spans="5:39" ht="12.75" customHeight="1">
      <c r="E1007" s="54"/>
      <c r="F1007" s="569" t="s">
        <v>251</v>
      </c>
      <c r="G1007" s="569"/>
      <c r="H1007" s="569"/>
      <c r="I1007" s="569"/>
      <c r="J1007" s="569"/>
      <c r="K1007" s="569"/>
      <c r="L1007" s="569"/>
      <c r="M1007" s="569"/>
      <c r="N1007" s="569"/>
      <c r="O1007" s="569"/>
      <c r="P1007" s="569"/>
      <c r="Q1007" s="569"/>
      <c r="R1007" s="569"/>
      <c r="S1007" s="569"/>
      <c r="T1007" s="569"/>
      <c r="U1007" s="569"/>
      <c r="V1007" s="569"/>
      <c r="W1007" s="569"/>
      <c r="X1007" s="569"/>
      <c r="Y1007" s="569"/>
      <c r="Z1007" s="569"/>
      <c r="AA1007" s="569"/>
      <c r="AB1007" s="569"/>
      <c r="AC1007" s="569"/>
      <c r="AD1007" s="569"/>
      <c r="AE1007" s="569"/>
      <c r="AF1007" s="569"/>
      <c r="AG1007" s="569"/>
      <c r="AH1007" s="569"/>
      <c r="AI1007" s="569"/>
      <c r="AJ1007" s="569"/>
      <c r="AK1007" s="569"/>
      <c r="AL1007" s="569"/>
      <c r="AM1007" s="249"/>
    </row>
    <row r="1008" spans="5:39" ht="15.75" customHeight="1">
      <c r="E1008" s="54"/>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69"/>
      <c r="AB1008" s="569"/>
      <c r="AC1008" s="569"/>
      <c r="AD1008" s="569"/>
      <c r="AE1008" s="569"/>
      <c r="AF1008" s="569"/>
      <c r="AG1008" s="569"/>
      <c r="AH1008" s="569"/>
      <c r="AI1008" s="569"/>
      <c r="AJ1008" s="569"/>
      <c r="AK1008" s="569"/>
      <c r="AL1008" s="569"/>
      <c r="AM1008" s="249"/>
    </row>
    <row r="1009" spans="1:39" s="361" customFormat="1" ht="12" customHeight="1">
      <c r="A1009" s="1"/>
      <c r="B1009" s="1"/>
      <c r="C1009" s="2"/>
      <c r="D1009" s="1"/>
      <c r="E1009" s="363"/>
      <c r="F1009" s="354"/>
      <c r="G1009" s="354"/>
      <c r="H1009" s="354"/>
      <c r="I1009" s="354"/>
      <c r="J1009" s="354"/>
      <c r="K1009" s="354"/>
      <c r="L1009" s="354"/>
      <c r="M1009" s="354"/>
      <c r="N1009" s="354"/>
      <c r="O1009" s="354"/>
      <c r="P1009" s="354"/>
      <c r="Q1009" s="354"/>
      <c r="R1009" s="354"/>
      <c r="S1009" s="354"/>
      <c r="T1009" s="354"/>
      <c r="U1009" s="354"/>
      <c r="V1009" s="354"/>
      <c r="W1009" s="354"/>
      <c r="X1009" s="354"/>
      <c r="Y1009" s="354"/>
      <c r="Z1009" s="354"/>
      <c r="AA1009" s="354"/>
      <c r="AB1009" s="354"/>
      <c r="AC1009" s="354"/>
      <c r="AD1009" s="354"/>
      <c r="AE1009" s="354"/>
      <c r="AF1009" s="354"/>
      <c r="AG1009" s="354"/>
      <c r="AH1009" s="354"/>
      <c r="AI1009" s="354"/>
      <c r="AJ1009" s="354"/>
      <c r="AK1009" s="354"/>
      <c r="AL1009" s="354"/>
      <c r="AM1009" s="360"/>
    </row>
    <row r="1010" spans="1:39" s="361" customFormat="1" ht="12" customHeight="1">
      <c r="A1010" s="1"/>
      <c r="B1010" s="1"/>
      <c r="C1010" s="2"/>
      <c r="D1010" s="1"/>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358" t="s">
        <v>24</v>
      </c>
      <c r="AK1010" s="612">
        <f>AK936+1</f>
        <v>16</v>
      </c>
      <c r="AL1010" s="612"/>
      <c r="AM1010" s="358" t="s">
        <v>24</v>
      </c>
    </row>
    <row r="1011" spans="1:39" s="382" customFormat="1" ht="12" customHeight="1">
      <c r="A1011" s="1"/>
      <c r="B1011" s="1"/>
      <c r="C1011" s="2"/>
      <c r="D1011" s="1"/>
      <c r="E1011" s="387"/>
      <c r="F1011" s="387"/>
      <c r="G1011" s="387"/>
      <c r="H1011" s="387"/>
      <c r="I1011" s="387"/>
      <c r="J1011" s="387"/>
      <c r="K1011" s="387"/>
      <c r="L1011" s="387"/>
      <c r="M1011" s="387"/>
      <c r="N1011" s="387"/>
      <c r="O1011" s="387"/>
      <c r="P1011" s="387"/>
      <c r="Q1011" s="387"/>
      <c r="R1011" s="387"/>
      <c r="S1011" s="387"/>
      <c r="T1011" s="387"/>
      <c r="U1011" s="387"/>
      <c r="V1011" s="387"/>
      <c r="W1011" s="387"/>
      <c r="X1011" s="387"/>
      <c r="Y1011" s="387"/>
      <c r="Z1011" s="387"/>
      <c r="AA1011" s="387"/>
      <c r="AB1011" s="387"/>
      <c r="AC1011" s="387"/>
      <c r="AD1011" s="387"/>
      <c r="AE1011" s="387"/>
      <c r="AF1011" s="387"/>
      <c r="AG1011" s="387"/>
      <c r="AH1011" s="387"/>
      <c r="AI1011" s="387"/>
      <c r="AJ1011" s="383"/>
      <c r="AK1011" s="383"/>
      <c r="AL1011" s="383"/>
      <c r="AM1011" s="383"/>
    </row>
    <row r="1012" spans="1:39" s="382" customFormat="1" ht="12" customHeight="1">
      <c r="A1012" s="1"/>
      <c r="B1012" s="1"/>
      <c r="C1012" s="2"/>
      <c r="D1012" s="1"/>
      <c r="E1012" s="387"/>
      <c r="F1012" s="387"/>
      <c r="G1012" s="387"/>
      <c r="H1012" s="387"/>
      <c r="I1012" s="387"/>
      <c r="J1012" s="387"/>
      <c r="K1012" s="387"/>
      <c r="L1012" s="387"/>
      <c r="M1012" s="387"/>
      <c r="N1012" s="387"/>
      <c r="O1012" s="387"/>
      <c r="P1012" s="387"/>
      <c r="Q1012" s="387"/>
      <c r="R1012" s="387"/>
      <c r="S1012" s="387"/>
      <c r="T1012" s="387"/>
      <c r="U1012" s="387"/>
      <c r="V1012" s="387"/>
      <c r="W1012" s="387"/>
      <c r="X1012" s="387"/>
      <c r="Y1012" s="387"/>
      <c r="Z1012" s="387"/>
      <c r="AA1012" s="387"/>
      <c r="AB1012" s="387"/>
      <c r="AC1012" s="387"/>
      <c r="AD1012" s="387"/>
      <c r="AE1012" s="387"/>
      <c r="AF1012" s="387"/>
      <c r="AG1012" s="387"/>
      <c r="AH1012" s="387"/>
      <c r="AI1012" s="387"/>
      <c r="AJ1012" s="383"/>
      <c r="AK1012" s="383"/>
      <c r="AL1012" s="383"/>
      <c r="AM1012" s="383"/>
    </row>
    <row r="1013" spans="1:39" s="361" customFormat="1" ht="12" customHeight="1">
      <c r="A1013" s="1"/>
      <c r="B1013" s="1"/>
      <c r="C1013" s="2"/>
      <c r="D1013" s="1"/>
      <c r="E1013" s="363"/>
      <c r="F1013" s="354"/>
      <c r="G1013" s="354"/>
      <c r="H1013" s="354"/>
      <c r="I1013" s="354"/>
      <c r="J1013" s="354"/>
      <c r="K1013" s="354"/>
      <c r="L1013" s="354"/>
      <c r="M1013" s="354"/>
      <c r="N1013" s="354"/>
      <c r="O1013" s="354"/>
      <c r="P1013" s="354"/>
      <c r="Q1013" s="354"/>
      <c r="R1013" s="354"/>
      <c r="S1013" s="354"/>
      <c r="T1013" s="354"/>
      <c r="U1013" s="354"/>
      <c r="V1013" s="354"/>
      <c r="W1013" s="354"/>
      <c r="X1013" s="354"/>
      <c r="Y1013" s="354"/>
      <c r="Z1013" s="354"/>
      <c r="AA1013" s="354"/>
      <c r="AB1013" s="354"/>
      <c r="AC1013" s="354"/>
      <c r="AD1013" s="354"/>
      <c r="AE1013" s="354"/>
      <c r="AF1013" s="354"/>
      <c r="AG1013" s="354"/>
      <c r="AH1013" s="354"/>
      <c r="AI1013" s="354"/>
      <c r="AJ1013" s="354"/>
      <c r="AK1013" s="354"/>
      <c r="AL1013" s="354"/>
      <c r="AM1013" s="360"/>
    </row>
    <row r="1014" spans="1:39" s="361" customFormat="1" ht="12" customHeight="1">
      <c r="A1014" s="1"/>
      <c r="B1014" s="1"/>
      <c r="C1014" s="2"/>
      <c r="D1014" s="1"/>
      <c r="E1014" s="363"/>
      <c r="F1014" s="354"/>
      <c r="G1014" s="354"/>
      <c r="H1014" s="354"/>
      <c r="I1014" s="354"/>
      <c r="J1014" s="354"/>
      <c r="K1014" s="354"/>
      <c r="L1014" s="354"/>
      <c r="M1014" s="354"/>
      <c r="N1014" s="354"/>
      <c r="O1014" s="354"/>
      <c r="P1014" s="354"/>
      <c r="Q1014" s="354"/>
      <c r="R1014" s="354"/>
      <c r="S1014" s="354"/>
      <c r="T1014" s="354"/>
      <c r="U1014" s="354"/>
      <c r="V1014" s="354"/>
      <c r="W1014" s="354"/>
      <c r="X1014" s="354"/>
      <c r="Y1014" s="354"/>
      <c r="Z1014" s="354"/>
      <c r="AA1014" s="354"/>
      <c r="AB1014" s="354"/>
      <c r="AC1014" s="354"/>
      <c r="AD1014" s="354"/>
      <c r="AE1014" s="354"/>
      <c r="AF1014" s="354"/>
      <c r="AG1014" s="354"/>
      <c r="AH1014" s="354"/>
      <c r="AI1014" s="354"/>
      <c r="AJ1014" s="354"/>
      <c r="AK1014" s="354"/>
      <c r="AL1014" s="354"/>
      <c r="AM1014" s="360"/>
    </row>
    <row r="1015" spans="1:39" s="361" customFormat="1" ht="12" customHeight="1">
      <c r="A1015" s="1"/>
      <c r="B1015" s="1"/>
      <c r="C1015" s="2"/>
      <c r="D1015" s="1"/>
      <c r="E1015" s="265" t="str">
        <f>UPPER($Y$28)</f>
        <v>ПТ ЛОМБАРД "МЕРКУРІЙ"</v>
      </c>
      <c r="F1015" s="265"/>
      <c r="G1015" s="265"/>
      <c r="H1015" s="265"/>
      <c r="I1015" s="265"/>
      <c r="J1015" s="265"/>
      <c r="K1015" s="265"/>
      <c r="L1015" s="265"/>
      <c r="M1015" s="265"/>
      <c r="N1015" s="265"/>
      <c r="O1015" s="265"/>
      <c r="P1015" s="265"/>
      <c r="Q1015" s="265"/>
      <c r="R1015" s="265"/>
      <c r="S1015" s="265"/>
      <c r="T1015" s="265"/>
      <c r="U1015" s="265"/>
      <c r="V1015" s="265"/>
      <c r="W1015" s="265"/>
      <c r="X1015" s="265"/>
      <c r="Y1015" s="265"/>
      <c r="Z1015" s="265"/>
      <c r="AA1015" s="265"/>
      <c r="AB1015" s="265"/>
      <c r="AC1015" s="265"/>
      <c r="AD1015" s="265"/>
      <c r="AE1015" s="265"/>
      <c r="AF1015" s="265"/>
      <c r="AG1015" s="265"/>
      <c r="AH1015" s="265"/>
      <c r="AI1015" s="265"/>
      <c r="AJ1015" s="265"/>
      <c r="AK1015" s="265"/>
      <c r="AL1015" s="265"/>
      <c r="AM1015" s="265"/>
    </row>
    <row r="1016" spans="1:39" s="361" customFormat="1" ht="12" customHeight="1">
      <c r="A1016" s="1"/>
      <c r="B1016" s="1"/>
      <c r="C1016" s="2"/>
      <c r="D1016" s="1"/>
      <c r="E1016" s="269" t="s">
        <v>143</v>
      </c>
      <c r="F1016" s="269"/>
      <c r="G1016" s="269"/>
      <c r="H1016" s="269"/>
      <c r="I1016" s="269"/>
      <c r="J1016" s="269"/>
      <c r="K1016" s="269"/>
      <c r="L1016" s="269"/>
      <c r="M1016" s="269"/>
      <c r="N1016" s="269"/>
      <c r="O1016" s="269"/>
      <c r="P1016" s="269"/>
      <c r="Q1016" s="269"/>
      <c r="R1016" s="269"/>
      <c r="S1016" s="269"/>
      <c r="T1016" s="269"/>
      <c r="U1016" s="269"/>
      <c r="V1016" s="269"/>
      <c r="W1016" s="269"/>
      <c r="X1016" s="269"/>
      <c r="Y1016" s="269"/>
      <c r="Z1016" s="269"/>
      <c r="AA1016" s="269"/>
      <c r="AB1016" s="269"/>
      <c r="AC1016" s="269"/>
      <c r="AD1016" s="269"/>
      <c r="AE1016" s="269"/>
      <c r="AF1016" s="269"/>
      <c r="AG1016" s="269"/>
      <c r="AH1016" s="269"/>
      <c r="AI1016" s="269"/>
      <c r="AJ1016" s="269"/>
      <c r="AK1016" s="269"/>
      <c r="AL1016" s="269"/>
      <c r="AM1016" s="269"/>
    </row>
    <row r="1017" spans="1:39" s="361" customFormat="1" ht="12" customHeight="1">
      <c r="A1017" s="1"/>
      <c r="B1017" s="1"/>
      <c r="C1017" s="2"/>
      <c r="D1017" s="1"/>
      <c r="E1017" s="269" t="str">
        <f>$E$274</f>
        <v>ЗА РІК, ЩО ЗАКІНЧИВСЯ 31 ГРУДНЯ 2020 РОКУ</v>
      </c>
      <c r="F1017" s="269"/>
      <c r="G1017" s="269"/>
      <c r="H1017" s="269"/>
      <c r="I1017" s="269"/>
      <c r="J1017" s="269"/>
      <c r="K1017" s="269"/>
      <c r="L1017" s="269"/>
      <c r="M1017" s="269"/>
      <c r="N1017" s="269"/>
      <c r="O1017" s="269"/>
      <c r="P1017" s="269"/>
      <c r="Q1017" s="269"/>
      <c r="R1017" s="269"/>
      <c r="S1017" s="269"/>
      <c r="T1017" s="269"/>
      <c r="U1017" s="269"/>
      <c r="V1017" s="269"/>
      <c r="W1017" s="269"/>
      <c r="X1017" s="269"/>
      <c r="Y1017" s="269"/>
      <c r="Z1017" s="269"/>
      <c r="AA1017" s="269"/>
      <c r="AB1017" s="269"/>
      <c r="AC1017" s="269"/>
      <c r="AD1017" s="269"/>
      <c r="AE1017" s="269"/>
      <c r="AF1017" s="269"/>
      <c r="AG1017" s="269"/>
      <c r="AH1017" s="269"/>
      <c r="AI1017" s="269"/>
      <c r="AJ1017" s="269"/>
      <c r="AK1017" s="269"/>
      <c r="AL1017" s="269"/>
      <c r="AM1017" s="269"/>
    </row>
    <row r="1018" spans="1:39" s="361" customFormat="1" ht="12" customHeight="1">
      <c r="A1018" s="1"/>
      <c r="B1018" s="1"/>
      <c r="C1018" s="2"/>
      <c r="D1018" s="1"/>
      <c r="E1018" s="244" t="str">
        <f>$E$209</f>
        <v>(в тисячах гривень, якщо не вказано інше)</v>
      </c>
      <c r="F1018" s="244"/>
      <c r="G1018" s="244"/>
      <c r="H1018" s="244"/>
      <c r="I1018" s="244"/>
      <c r="J1018" s="244"/>
      <c r="K1018" s="244"/>
      <c r="L1018" s="244"/>
      <c r="M1018" s="244"/>
      <c r="N1018" s="244"/>
      <c r="O1018" s="244"/>
      <c r="P1018" s="244"/>
      <c r="Q1018" s="244"/>
      <c r="R1018" s="244"/>
      <c r="S1018" s="244"/>
      <c r="T1018" s="244"/>
      <c r="U1018" s="244"/>
      <c r="V1018" s="244"/>
      <c r="W1018" s="244"/>
      <c r="X1018" s="244"/>
      <c r="Y1018" s="244"/>
      <c r="Z1018" s="244"/>
      <c r="AA1018" s="244"/>
      <c r="AB1018" s="244"/>
      <c r="AC1018" s="244"/>
      <c r="AD1018" s="244"/>
      <c r="AE1018" s="244"/>
      <c r="AF1018" s="244"/>
      <c r="AG1018" s="244"/>
      <c r="AH1018" s="244"/>
      <c r="AI1018" s="244"/>
      <c r="AJ1018" s="244"/>
      <c r="AK1018" s="244"/>
      <c r="AL1018" s="244"/>
      <c r="AM1018" s="244"/>
    </row>
    <row r="1019" spans="1:39" s="361" customFormat="1" ht="12" customHeight="1">
      <c r="A1019" s="1"/>
      <c r="B1019" s="1"/>
      <c r="C1019" s="2"/>
      <c r="D1019" s="1"/>
      <c r="E1019" s="363"/>
      <c r="F1019" s="354"/>
      <c r="G1019" s="354"/>
      <c r="H1019" s="354"/>
      <c r="I1019" s="354"/>
      <c r="J1019" s="354"/>
      <c r="K1019" s="354"/>
      <c r="L1019" s="354"/>
      <c r="M1019" s="354"/>
      <c r="N1019" s="354"/>
      <c r="O1019" s="354"/>
      <c r="P1019" s="354"/>
      <c r="Q1019" s="354"/>
      <c r="R1019" s="354"/>
      <c r="S1019" s="354"/>
      <c r="T1019" s="354"/>
      <c r="U1019" s="354"/>
      <c r="V1019" s="354"/>
      <c r="W1019" s="354"/>
      <c r="X1019" s="354"/>
      <c r="Y1019" s="354"/>
      <c r="Z1019" s="354"/>
      <c r="AA1019" s="354"/>
      <c r="AB1019" s="354"/>
      <c r="AC1019" s="354"/>
      <c r="AD1019" s="354"/>
      <c r="AE1019" s="354"/>
      <c r="AF1019" s="354"/>
      <c r="AG1019" s="354"/>
      <c r="AH1019" s="354"/>
      <c r="AI1019" s="354"/>
      <c r="AJ1019" s="354"/>
      <c r="AK1019" s="354"/>
      <c r="AL1019" s="354"/>
      <c r="AM1019" s="360"/>
    </row>
    <row r="1020" spans="1:39" ht="14.1" customHeight="1">
      <c r="E1020" s="54"/>
      <c r="F1020" s="33" t="s">
        <v>1431</v>
      </c>
      <c r="G1020" s="613" t="s">
        <v>1437</v>
      </c>
      <c r="H1020" s="613"/>
      <c r="I1020" s="613"/>
      <c r="J1020" s="613"/>
      <c r="K1020" s="613"/>
      <c r="L1020" s="613"/>
      <c r="M1020" s="613"/>
      <c r="N1020" s="613"/>
      <c r="O1020" s="613"/>
      <c r="P1020" s="613"/>
      <c r="Q1020" s="613"/>
      <c r="R1020" s="613"/>
      <c r="S1020" s="613"/>
      <c r="T1020" s="613"/>
      <c r="U1020" s="613"/>
      <c r="V1020" s="613"/>
      <c r="W1020" s="613"/>
      <c r="X1020" s="613"/>
      <c r="Y1020" s="613"/>
      <c r="Z1020" s="613"/>
      <c r="AA1020" s="613"/>
      <c r="AB1020" s="613"/>
      <c r="AC1020" s="33"/>
      <c r="AD1020" s="33"/>
      <c r="AE1020" s="33"/>
      <c r="AF1020" s="33"/>
      <c r="AG1020" s="33"/>
      <c r="AH1020" s="33"/>
      <c r="AI1020" s="33"/>
      <c r="AJ1020" s="33"/>
      <c r="AK1020" s="33"/>
      <c r="AL1020" s="33"/>
      <c r="AM1020" s="33"/>
    </row>
    <row r="1021" spans="1:39" ht="14.1" customHeight="1">
      <c r="E1021" s="54"/>
      <c r="F1021" s="569" t="s">
        <v>252</v>
      </c>
      <c r="G1021" s="569"/>
      <c r="H1021" s="569"/>
      <c r="I1021" s="569"/>
      <c r="J1021" s="569"/>
      <c r="K1021" s="569"/>
      <c r="L1021" s="569"/>
      <c r="M1021" s="569"/>
      <c r="N1021" s="569"/>
      <c r="O1021" s="569"/>
      <c r="P1021" s="569"/>
      <c r="Q1021" s="569"/>
      <c r="R1021" s="569"/>
      <c r="S1021" s="569"/>
      <c r="T1021" s="569"/>
      <c r="U1021" s="569"/>
      <c r="V1021" s="569"/>
      <c r="W1021" s="569"/>
      <c r="X1021" s="569"/>
      <c r="Y1021" s="569"/>
      <c r="Z1021" s="569"/>
      <c r="AA1021" s="569"/>
      <c r="AB1021" s="569"/>
      <c r="AC1021" s="569"/>
      <c r="AD1021" s="569"/>
      <c r="AE1021" s="569"/>
      <c r="AF1021" s="569"/>
      <c r="AG1021" s="569"/>
      <c r="AH1021" s="569"/>
      <c r="AI1021" s="569"/>
      <c r="AJ1021" s="569"/>
      <c r="AK1021" s="569"/>
      <c r="AL1021" s="569"/>
      <c r="AM1021" s="249"/>
    </row>
    <row r="1022" spans="1:39">
      <c r="E1022" s="54"/>
      <c r="F1022" s="569"/>
      <c r="G1022" s="569"/>
      <c r="H1022" s="569"/>
      <c r="I1022" s="569"/>
      <c r="J1022" s="569"/>
      <c r="K1022" s="569"/>
      <c r="L1022" s="569"/>
      <c r="M1022" s="569"/>
      <c r="N1022" s="569"/>
      <c r="O1022" s="569"/>
      <c r="P1022" s="569"/>
      <c r="Q1022" s="569"/>
      <c r="R1022" s="569"/>
      <c r="S1022" s="569"/>
      <c r="T1022" s="569"/>
      <c r="U1022" s="569"/>
      <c r="V1022" s="569"/>
      <c r="W1022" s="569"/>
      <c r="X1022" s="569"/>
      <c r="Y1022" s="569"/>
      <c r="Z1022" s="569"/>
      <c r="AA1022" s="569"/>
      <c r="AB1022" s="569"/>
      <c r="AC1022" s="569"/>
      <c r="AD1022" s="569"/>
      <c r="AE1022" s="569"/>
      <c r="AF1022" s="569"/>
      <c r="AG1022" s="569"/>
      <c r="AH1022" s="569"/>
      <c r="AI1022" s="569"/>
      <c r="AJ1022" s="569"/>
      <c r="AK1022" s="569"/>
      <c r="AL1022" s="569"/>
      <c r="AM1022" s="249"/>
    </row>
    <row r="1023" spans="1:39">
      <c r="E1023" s="54"/>
      <c r="F1023" s="569"/>
      <c r="G1023" s="569"/>
      <c r="H1023" s="569"/>
      <c r="I1023" s="569"/>
      <c r="J1023" s="569"/>
      <c r="K1023" s="569"/>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569"/>
      <c r="AF1023" s="569"/>
      <c r="AG1023" s="569"/>
      <c r="AH1023" s="569"/>
      <c r="AI1023" s="569"/>
      <c r="AJ1023" s="569"/>
      <c r="AK1023" s="569"/>
      <c r="AL1023" s="569"/>
      <c r="AM1023" s="54"/>
    </row>
    <row r="1024" spans="1:39" ht="14.1" customHeight="1">
      <c r="E1024" s="54"/>
      <c r="F1024" s="569" t="s">
        <v>253</v>
      </c>
      <c r="G1024" s="569"/>
      <c r="H1024" s="569"/>
      <c r="I1024" s="569"/>
      <c r="J1024" s="569"/>
      <c r="K1024" s="569"/>
      <c r="L1024" s="569"/>
      <c r="M1024" s="569"/>
      <c r="N1024" s="569"/>
      <c r="O1024" s="569"/>
      <c r="P1024" s="569"/>
      <c r="Q1024" s="569"/>
      <c r="R1024" s="569"/>
      <c r="S1024" s="569"/>
      <c r="T1024" s="569"/>
      <c r="U1024" s="569"/>
      <c r="V1024" s="569"/>
      <c r="W1024" s="569"/>
      <c r="X1024" s="569"/>
      <c r="Y1024" s="569"/>
      <c r="Z1024" s="569"/>
      <c r="AA1024" s="569"/>
      <c r="AB1024" s="569"/>
      <c r="AC1024" s="569"/>
      <c r="AD1024" s="569"/>
      <c r="AE1024" s="569"/>
      <c r="AF1024" s="569"/>
      <c r="AG1024" s="569"/>
      <c r="AH1024" s="569"/>
      <c r="AI1024" s="569"/>
      <c r="AJ1024" s="569"/>
      <c r="AK1024" s="569"/>
      <c r="AL1024" s="569"/>
      <c r="AM1024" s="225"/>
    </row>
    <row r="1025" spans="5:39">
      <c r="E1025" s="54"/>
      <c r="F1025" s="569"/>
      <c r="G1025" s="569"/>
      <c r="H1025" s="569"/>
      <c r="I1025" s="569"/>
      <c r="J1025" s="569"/>
      <c r="K1025" s="569"/>
      <c r="L1025" s="569"/>
      <c r="M1025" s="569"/>
      <c r="N1025" s="569"/>
      <c r="O1025" s="569"/>
      <c r="P1025" s="569"/>
      <c r="Q1025" s="569"/>
      <c r="R1025" s="569"/>
      <c r="S1025" s="569"/>
      <c r="T1025" s="569"/>
      <c r="U1025" s="569"/>
      <c r="V1025" s="569"/>
      <c r="W1025" s="569"/>
      <c r="X1025" s="569"/>
      <c r="Y1025" s="569"/>
      <c r="Z1025" s="569"/>
      <c r="AA1025" s="569"/>
      <c r="AB1025" s="569"/>
      <c r="AC1025" s="569"/>
      <c r="AD1025" s="569"/>
      <c r="AE1025" s="569"/>
      <c r="AF1025" s="569"/>
      <c r="AG1025" s="569"/>
      <c r="AH1025" s="569"/>
      <c r="AI1025" s="569"/>
      <c r="AJ1025" s="569"/>
      <c r="AK1025" s="569"/>
      <c r="AL1025" s="569"/>
      <c r="AM1025" s="225"/>
    </row>
    <row r="1026" spans="5:39">
      <c r="E1026" s="54"/>
      <c r="F1026" s="569"/>
      <c r="G1026" s="569"/>
      <c r="H1026" s="569"/>
      <c r="I1026" s="569"/>
      <c r="J1026" s="569"/>
      <c r="K1026" s="569"/>
      <c r="L1026" s="569"/>
      <c r="M1026" s="569"/>
      <c r="N1026" s="569"/>
      <c r="O1026" s="569"/>
      <c r="P1026" s="569"/>
      <c r="Q1026" s="569"/>
      <c r="R1026" s="569"/>
      <c r="S1026" s="569"/>
      <c r="T1026" s="569"/>
      <c r="U1026" s="569"/>
      <c r="V1026" s="569"/>
      <c r="W1026" s="569"/>
      <c r="X1026" s="569"/>
      <c r="Y1026" s="569"/>
      <c r="Z1026" s="569"/>
      <c r="AA1026" s="569"/>
      <c r="AB1026" s="569"/>
      <c r="AC1026" s="569"/>
      <c r="AD1026" s="569"/>
      <c r="AE1026" s="569"/>
      <c r="AF1026" s="569"/>
      <c r="AG1026" s="569"/>
      <c r="AH1026" s="569"/>
      <c r="AI1026" s="569"/>
      <c r="AJ1026" s="569"/>
      <c r="AK1026" s="569"/>
      <c r="AL1026" s="569"/>
      <c r="AM1026" s="225"/>
    </row>
    <row r="1027" spans="5:39">
      <c r="E1027" s="54"/>
      <c r="F1027" s="54"/>
      <c r="G1027" s="54"/>
      <c r="H1027" s="54"/>
      <c r="I1027" s="54"/>
      <c r="J1027" s="54"/>
      <c r="K1027" s="54"/>
      <c r="L1027" s="54"/>
      <c r="M1027" s="54"/>
      <c r="N1027" s="54"/>
      <c r="O1027" s="54"/>
      <c r="P1027" s="54"/>
      <c r="Q1027" s="54"/>
      <c r="R1027" s="54"/>
      <c r="S1027" s="54"/>
      <c r="T1027" s="54"/>
      <c r="U1027" s="54"/>
      <c r="V1027" s="54"/>
      <c r="W1027" s="54"/>
      <c r="X1027" s="54"/>
      <c r="Y1027" s="54"/>
      <c r="Z1027" s="54"/>
      <c r="AA1027" s="54"/>
      <c r="AB1027" s="54"/>
      <c r="AC1027" s="54"/>
      <c r="AD1027" s="54"/>
      <c r="AE1027" s="54"/>
      <c r="AF1027" s="54"/>
      <c r="AG1027" s="54"/>
      <c r="AH1027" s="54"/>
      <c r="AI1027" s="54"/>
      <c r="AJ1027" s="54"/>
      <c r="AK1027" s="54"/>
      <c r="AL1027" s="54"/>
      <c r="AM1027" s="54"/>
    </row>
    <row r="1028" spans="5:39" ht="14.1" customHeight="1">
      <c r="E1028" s="54"/>
      <c r="F1028" s="569" t="s">
        <v>254</v>
      </c>
      <c r="G1028" s="569"/>
      <c r="H1028" s="569"/>
      <c r="I1028" s="569"/>
      <c r="J1028" s="569"/>
      <c r="K1028" s="569"/>
      <c r="L1028" s="569"/>
      <c r="M1028" s="569"/>
      <c r="N1028" s="569"/>
      <c r="O1028" s="569"/>
      <c r="P1028" s="569"/>
      <c r="Q1028" s="569"/>
      <c r="R1028" s="569"/>
      <c r="S1028" s="569"/>
      <c r="T1028" s="569"/>
      <c r="U1028" s="569"/>
      <c r="V1028" s="569"/>
      <c r="W1028" s="569"/>
      <c r="X1028" s="569"/>
      <c r="Y1028" s="569"/>
      <c r="Z1028" s="569"/>
      <c r="AA1028" s="569"/>
      <c r="AB1028" s="569"/>
      <c r="AC1028" s="569"/>
      <c r="AD1028" s="569"/>
      <c r="AE1028" s="569"/>
      <c r="AF1028" s="569"/>
      <c r="AG1028" s="569"/>
      <c r="AH1028" s="569"/>
      <c r="AI1028" s="569"/>
      <c r="AJ1028" s="569"/>
      <c r="AK1028" s="569"/>
      <c r="AL1028" s="569"/>
      <c r="AM1028" s="249"/>
    </row>
    <row r="1029" spans="5:39">
      <c r="E1029" s="54"/>
      <c r="F1029" s="569"/>
      <c r="G1029" s="569"/>
      <c r="H1029" s="569"/>
      <c r="I1029" s="569"/>
      <c r="J1029" s="569"/>
      <c r="K1029" s="569"/>
      <c r="L1029" s="569"/>
      <c r="M1029" s="569"/>
      <c r="N1029" s="569"/>
      <c r="O1029" s="569"/>
      <c r="P1029" s="569"/>
      <c r="Q1029" s="569"/>
      <c r="R1029" s="569"/>
      <c r="S1029" s="569"/>
      <c r="T1029" s="569"/>
      <c r="U1029" s="569"/>
      <c r="V1029" s="569"/>
      <c r="W1029" s="569"/>
      <c r="X1029" s="569"/>
      <c r="Y1029" s="569"/>
      <c r="Z1029" s="569"/>
      <c r="AA1029" s="569"/>
      <c r="AB1029" s="569"/>
      <c r="AC1029" s="569"/>
      <c r="AD1029" s="569"/>
      <c r="AE1029" s="569"/>
      <c r="AF1029" s="569"/>
      <c r="AG1029" s="569"/>
      <c r="AH1029" s="569"/>
      <c r="AI1029" s="569"/>
      <c r="AJ1029" s="569"/>
      <c r="AK1029" s="569"/>
      <c r="AL1029" s="569"/>
      <c r="AM1029" s="249"/>
    </row>
    <row r="1030" spans="5:39">
      <c r="E1030" s="54"/>
      <c r="F1030" s="54"/>
      <c r="G1030" s="54"/>
      <c r="H1030" s="54"/>
      <c r="I1030" s="54"/>
      <c r="J1030" s="54"/>
      <c r="K1030" s="54"/>
      <c r="L1030" s="54"/>
      <c r="M1030" s="54"/>
      <c r="N1030" s="54"/>
      <c r="O1030" s="54"/>
      <c r="P1030" s="54"/>
      <c r="Q1030" s="54"/>
      <c r="R1030" s="54"/>
      <c r="S1030" s="54"/>
      <c r="T1030" s="54"/>
      <c r="U1030" s="54"/>
      <c r="V1030" s="54"/>
      <c r="W1030" s="54"/>
      <c r="X1030" s="54"/>
      <c r="Y1030" s="54"/>
      <c r="Z1030" s="54"/>
      <c r="AA1030" s="54"/>
      <c r="AB1030" s="54"/>
      <c r="AC1030" s="54"/>
      <c r="AD1030" s="54"/>
      <c r="AE1030" s="54"/>
      <c r="AF1030" s="54"/>
      <c r="AG1030" s="54"/>
      <c r="AH1030" s="54"/>
      <c r="AI1030" s="54"/>
      <c r="AJ1030" s="54"/>
      <c r="AK1030" s="54"/>
      <c r="AL1030" s="54"/>
      <c r="AM1030" s="54"/>
    </row>
    <row r="1031" spans="5:39" ht="14.1" customHeight="1">
      <c r="E1031" s="54"/>
      <c r="F1031" s="569" t="s">
        <v>255</v>
      </c>
      <c r="G1031" s="569"/>
      <c r="H1031" s="569"/>
      <c r="I1031" s="569"/>
      <c r="J1031" s="569"/>
      <c r="K1031" s="569"/>
      <c r="L1031" s="569"/>
      <c r="M1031" s="569"/>
      <c r="N1031" s="569"/>
      <c r="O1031" s="569"/>
      <c r="P1031" s="569"/>
      <c r="Q1031" s="569"/>
      <c r="R1031" s="569"/>
      <c r="S1031" s="569"/>
      <c r="T1031" s="569"/>
      <c r="U1031" s="569"/>
      <c r="V1031" s="569"/>
      <c r="W1031" s="569"/>
      <c r="X1031" s="569"/>
      <c r="Y1031" s="569"/>
      <c r="Z1031" s="569"/>
      <c r="AA1031" s="569"/>
      <c r="AB1031" s="569"/>
      <c r="AC1031" s="569"/>
      <c r="AD1031" s="569"/>
      <c r="AE1031" s="569"/>
      <c r="AF1031" s="569"/>
      <c r="AG1031" s="569"/>
      <c r="AH1031" s="569"/>
      <c r="AI1031" s="569"/>
      <c r="AJ1031" s="569"/>
      <c r="AK1031" s="569"/>
      <c r="AL1031" s="569"/>
      <c r="AM1031" s="249"/>
    </row>
    <row r="1032" spans="5:39">
      <c r="E1032" s="54"/>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69"/>
      <c r="AB1032" s="569"/>
      <c r="AC1032" s="569"/>
      <c r="AD1032" s="569"/>
      <c r="AE1032" s="569"/>
      <c r="AF1032" s="569"/>
      <c r="AG1032" s="569"/>
      <c r="AH1032" s="569"/>
      <c r="AI1032" s="569"/>
      <c r="AJ1032" s="569"/>
      <c r="AK1032" s="569"/>
      <c r="AL1032" s="569"/>
      <c r="AM1032" s="249"/>
    </row>
    <row r="1033" spans="5:39">
      <c r="E1033" s="54"/>
      <c r="F1033" s="569"/>
      <c r="G1033" s="569"/>
      <c r="H1033" s="569"/>
      <c r="I1033" s="569"/>
      <c r="J1033" s="569"/>
      <c r="K1033" s="569"/>
      <c r="L1033" s="569"/>
      <c r="M1033" s="569"/>
      <c r="N1033" s="569"/>
      <c r="O1033" s="569"/>
      <c r="P1033" s="569"/>
      <c r="Q1033" s="569"/>
      <c r="R1033" s="569"/>
      <c r="S1033" s="569"/>
      <c r="T1033" s="569"/>
      <c r="U1033" s="569"/>
      <c r="V1033" s="569"/>
      <c r="W1033" s="569"/>
      <c r="X1033" s="569"/>
      <c r="Y1033" s="569"/>
      <c r="Z1033" s="569"/>
      <c r="AA1033" s="569"/>
      <c r="AB1033" s="569"/>
      <c r="AC1033" s="569"/>
      <c r="AD1033" s="569"/>
      <c r="AE1033" s="569"/>
      <c r="AF1033" s="569"/>
      <c r="AG1033" s="569"/>
      <c r="AH1033" s="569"/>
      <c r="AI1033" s="569"/>
      <c r="AJ1033" s="569"/>
      <c r="AK1033" s="569"/>
      <c r="AL1033" s="569"/>
      <c r="AM1033" s="249"/>
    </row>
    <row r="1034" spans="5:39">
      <c r="E1034" s="54"/>
      <c r="F1034" s="569"/>
      <c r="G1034" s="569"/>
      <c r="H1034" s="569"/>
      <c r="I1034" s="569"/>
      <c r="J1034" s="569"/>
      <c r="K1034" s="569"/>
      <c r="L1034" s="569"/>
      <c r="M1034" s="569"/>
      <c r="N1034" s="569"/>
      <c r="O1034" s="569"/>
      <c r="P1034" s="569"/>
      <c r="Q1034" s="569"/>
      <c r="R1034" s="569"/>
      <c r="S1034" s="569"/>
      <c r="T1034" s="569"/>
      <c r="U1034" s="569"/>
      <c r="V1034" s="569"/>
      <c r="W1034" s="569"/>
      <c r="X1034" s="569"/>
      <c r="Y1034" s="569"/>
      <c r="Z1034" s="569"/>
      <c r="AA1034" s="569"/>
      <c r="AB1034" s="569"/>
      <c r="AC1034" s="569"/>
      <c r="AD1034" s="569"/>
      <c r="AE1034" s="569"/>
      <c r="AF1034" s="569"/>
      <c r="AG1034" s="569"/>
      <c r="AH1034" s="569"/>
      <c r="AI1034" s="569"/>
      <c r="AJ1034" s="569"/>
      <c r="AK1034" s="569"/>
      <c r="AL1034" s="569"/>
      <c r="AM1034" s="249"/>
    </row>
    <row r="1035" spans="5:39">
      <c r="E1035" s="54"/>
      <c r="F1035" s="54"/>
      <c r="G1035" s="54"/>
      <c r="H1035" s="54"/>
      <c r="I1035" s="54"/>
      <c r="J1035" s="54"/>
      <c r="K1035" s="54"/>
      <c r="L1035" s="54"/>
      <c r="M1035" s="54"/>
      <c r="N1035" s="54"/>
      <c r="O1035" s="54"/>
      <c r="P1035" s="54"/>
      <c r="Q1035" s="54"/>
      <c r="R1035" s="54"/>
      <c r="S1035" s="54"/>
      <c r="T1035" s="54"/>
      <c r="U1035" s="54"/>
      <c r="V1035" s="54"/>
      <c r="W1035" s="54"/>
      <c r="X1035" s="54"/>
      <c r="Y1035" s="54"/>
      <c r="Z1035" s="54"/>
      <c r="AA1035" s="54"/>
      <c r="AB1035" s="54"/>
      <c r="AC1035" s="54"/>
      <c r="AD1035" s="54"/>
      <c r="AE1035" s="54"/>
      <c r="AF1035" s="54"/>
      <c r="AG1035" s="54"/>
      <c r="AH1035" s="54"/>
      <c r="AI1035" s="54"/>
      <c r="AJ1035" s="54"/>
      <c r="AK1035" s="54"/>
      <c r="AL1035" s="54"/>
      <c r="AM1035" s="54"/>
    </row>
    <row r="1036" spans="5:39" ht="14.1" customHeight="1">
      <c r="E1036" s="54"/>
      <c r="F1036" s="33" t="s">
        <v>1433</v>
      </c>
      <c r="G1036" s="613" t="s">
        <v>1438</v>
      </c>
      <c r="H1036" s="613"/>
      <c r="I1036" s="613"/>
      <c r="J1036" s="613"/>
      <c r="K1036" s="613"/>
      <c r="L1036" s="613"/>
      <c r="M1036" s="613"/>
      <c r="N1036" s="613"/>
      <c r="O1036" s="613"/>
      <c r="P1036" s="613"/>
      <c r="Q1036" s="613"/>
      <c r="R1036" s="613"/>
      <c r="S1036" s="613"/>
      <c r="T1036" s="613"/>
      <c r="U1036" s="613"/>
      <c r="V1036" s="613"/>
      <c r="W1036" s="613"/>
      <c r="X1036" s="613"/>
      <c r="Y1036" s="613"/>
      <c r="Z1036" s="613"/>
      <c r="AA1036" s="613"/>
      <c r="AB1036" s="613"/>
      <c r="AC1036" s="613"/>
      <c r="AD1036" s="613"/>
      <c r="AE1036" s="613"/>
      <c r="AF1036" s="613"/>
      <c r="AG1036" s="613"/>
      <c r="AH1036" s="33"/>
      <c r="AI1036" s="33"/>
      <c r="AJ1036" s="33"/>
      <c r="AK1036" s="33"/>
      <c r="AL1036" s="33"/>
      <c r="AM1036" s="33"/>
    </row>
    <row r="1037" spans="5:39" ht="14.1" customHeight="1">
      <c r="E1037" s="54"/>
      <c r="F1037" s="569" t="s">
        <v>256</v>
      </c>
      <c r="G1037" s="569"/>
      <c r="H1037" s="569"/>
      <c r="I1037" s="569"/>
      <c r="J1037" s="569"/>
      <c r="K1037" s="569"/>
      <c r="L1037" s="569"/>
      <c r="M1037" s="569"/>
      <c r="N1037" s="569"/>
      <c r="O1037" s="569"/>
      <c r="P1037" s="569"/>
      <c r="Q1037" s="569"/>
      <c r="R1037" s="569"/>
      <c r="S1037" s="569"/>
      <c r="T1037" s="569"/>
      <c r="U1037" s="569"/>
      <c r="V1037" s="569"/>
      <c r="W1037" s="569"/>
      <c r="X1037" s="569"/>
      <c r="Y1037" s="569"/>
      <c r="Z1037" s="569"/>
      <c r="AA1037" s="569"/>
      <c r="AB1037" s="569"/>
      <c r="AC1037" s="569"/>
      <c r="AD1037" s="569"/>
      <c r="AE1037" s="569"/>
      <c r="AF1037" s="569"/>
      <c r="AG1037" s="569"/>
      <c r="AH1037" s="569"/>
      <c r="AI1037" s="569"/>
      <c r="AJ1037" s="569"/>
      <c r="AK1037" s="569"/>
      <c r="AL1037" s="569"/>
      <c r="AM1037" s="249"/>
    </row>
    <row r="1038" spans="5:39">
      <c r="E1038" s="54"/>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c r="AK1038" s="569"/>
      <c r="AL1038" s="569"/>
      <c r="AM1038" s="249"/>
    </row>
    <row r="1039" spans="5:39">
      <c r="E1039" s="54"/>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c r="AK1039" s="569"/>
      <c r="AL1039" s="569"/>
      <c r="AM1039" s="249"/>
    </row>
    <row r="1040" spans="5:39">
      <c r="E1040" s="54"/>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69"/>
      <c r="AB1040" s="569"/>
      <c r="AC1040" s="569"/>
      <c r="AD1040" s="569"/>
      <c r="AE1040" s="569"/>
      <c r="AF1040" s="569"/>
      <c r="AG1040" s="569"/>
      <c r="AH1040" s="569"/>
      <c r="AI1040" s="569"/>
      <c r="AJ1040" s="569"/>
      <c r="AK1040" s="569"/>
      <c r="AL1040" s="569"/>
      <c r="AM1040" s="249"/>
    </row>
    <row r="1041" spans="1:39" s="96" customFormat="1">
      <c r="A1041" s="1"/>
      <c r="B1041" s="1"/>
      <c r="C1041" s="2"/>
      <c r="D1041" s="1"/>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row>
    <row r="1042" spans="1:39" s="96" customFormat="1" ht="14.1" customHeight="1">
      <c r="A1042" s="1"/>
      <c r="B1042" s="1"/>
      <c r="C1042" s="2"/>
      <c r="D1042" s="1"/>
      <c r="E1042" s="94"/>
      <c r="F1042" s="33" t="s">
        <v>1427</v>
      </c>
      <c r="G1042" s="613" t="s">
        <v>1439</v>
      </c>
      <c r="H1042" s="613"/>
      <c r="I1042" s="613"/>
      <c r="J1042" s="613"/>
      <c r="K1042" s="613"/>
      <c r="L1042" s="613"/>
      <c r="M1042" s="613"/>
      <c r="N1042" s="613"/>
      <c r="O1042" s="613"/>
      <c r="P1042" s="613"/>
      <c r="Q1042" s="613"/>
      <c r="R1042" s="613"/>
      <c r="S1042" s="613"/>
      <c r="T1042" s="613"/>
      <c r="U1042" s="613"/>
      <c r="V1042" s="613"/>
      <c r="W1042" s="613"/>
      <c r="X1042" s="613"/>
      <c r="Y1042" s="613"/>
      <c r="Z1042" s="613"/>
      <c r="AA1042" s="613"/>
      <c r="AB1042" s="613"/>
      <c r="AC1042" s="613"/>
      <c r="AD1042" s="613"/>
      <c r="AE1042" s="613"/>
      <c r="AF1042" s="613"/>
      <c r="AG1042" s="33"/>
      <c r="AH1042" s="33"/>
      <c r="AI1042" s="33"/>
      <c r="AJ1042" s="33"/>
      <c r="AK1042" s="33"/>
      <c r="AL1042" s="33"/>
      <c r="AM1042" s="33"/>
    </row>
    <row r="1043" spans="1:39" s="231" customFormat="1" ht="14.1" customHeight="1">
      <c r="A1043" s="1"/>
      <c r="B1043" s="1"/>
      <c r="C1043" s="2"/>
      <c r="D1043" s="1"/>
      <c r="E1043" s="248"/>
      <c r="F1043" s="569" t="s">
        <v>1381</v>
      </c>
      <c r="G1043" s="569"/>
      <c r="H1043" s="569"/>
      <c r="I1043" s="569"/>
      <c r="J1043" s="569"/>
      <c r="K1043" s="569"/>
      <c r="L1043" s="569"/>
      <c r="M1043" s="569"/>
      <c r="N1043" s="569"/>
      <c r="O1043" s="569"/>
      <c r="P1043" s="569"/>
      <c r="Q1043" s="569"/>
      <c r="R1043" s="569"/>
      <c r="S1043" s="569"/>
      <c r="T1043" s="569"/>
      <c r="U1043" s="569"/>
      <c r="V1043" s="569"/>
      <c r="W1043" s="569"/>
      <c r="X1043" s="569"/>
      <c r="Y1043" s="569"/>
      <c r="Z1043" s="569"/>
      <c r="AA1043" s="569"/>
      <c r="AB1043" s="569"/>
      <c r="AC1043" s="569"/>
      <c r="AD1043" s="569"/>
      <c r="AE1043" s="569"/>
      <c r="AF1043" s="569"/>
      <c r="AG1043" s="569"/>
      <c r="AH1043" s="569"/>
      <c r="AI1043" s="569"/>
      <c r="AJ1043" s="569"/>
      <c r="AK1043" s="569"/>
      <c r="AL1043" s="569"/>
      <c r="AM1043" s="249"/>
    </row>
    <row r="1044" spans="1:39" s="231" customFormat="1">
      <c r="A1044" s="1"/>
      <c r="B1044" s="1"/>
      <c r="C1044" s="2"/>
      <c r="D1044" s="1"/>
      <c r="E1044" s="248"/>
      <c r="F1044" s="569"/>
      <c r="G1044" s="569"/>
      <c r="H1044" s="569"/>
      <c r="I1044" s="569"/>
      <c r="J1044" s="569"/>
      <c r="K1044" s="569"/>
      <c r="L1044" s="569"/>
      <c r="M1044" s="569"/>
      <c r="N1044" s="569"/>
      <c r="O1044" s="569"/>
      <c r="P1044" s="569"/>
      <c r="Q1044" s="569"/>
      <c r="R1044" s="569"/>
      <c r="S1044" s="569"/>
      <c r="T1044" s="569"/>
      <c r="U1044" s="569"/>
      <c r="V1044" s="569"/>
      <c r="W1044" s="569"/>
      <c r="X1044" s="569"/>
      <c r="Y1044" s="569"/>
      <c r="Z1044" s="569"/>
      <c r="AA1044" s="569"/>
      <c r="AB1044" s="569"/>
      <c r="AC1044" s="569"/>
      <c r="AD1044" s="569"/>
      <c r="AE1044" s="569"/>
      <c r="AF1044" s="569"/>
      <c r="AG1044" s="569"/>
      <c r="AH1044" s="569"/>
      <c r="AI1044" s="569"/>
      <c r="AJ1044" s="569"/>
      <c r="AK1044" s="569"/>
      <c r="AL1044" s="569"/>
      <c r="AM1044" s="249"/>
    </row>
    <row r="1045" spans="1:39" s="231" customFormat="1">
      <c r="A1045" s="1"/>
      <c r="B1045" s="1"/>
      <c r="C1045" s="2"/>
      <c r="D1045" s="1"/>
      <c r="E1045" s="248"/>
      <c r="F1045" s="569"/>
      <c r="G1045" s="569"/>
      <c r="H1045" s="569"/>
      <c r="I1045" s="569"/>
      <c r="J1045" s="569"/>
      <c r="K1045" s="569"/>
      <c r="L1045" s="569"/>
      <c r="M1045" s="569"/>
      <c r="N1045" s="569"/>
      <c r="O1045" s="569"/>
      <c r="P1045" s="569"/>
      <c r="Q1045" s="569"/>
      <c r="R1045" s="569"/>
      <c r="S1045" s="569"/>
      <c r="T1045" s="569"/>
      <c r="U1045" s="569"/>
      <c r="V1045" s="569"/>
      <c r="W1045" s="569"/>
      <c r="X1045" s="569"/>
      <c r="Y1045" s="569"/>
      <c r="Z1045" s="569"/>
      <c r="AA1045" s="569"/>
      <c r="AB1045" s="569"/>
      <c r="AC1045" s="569"/>
      <c r="AD1045" s="569"/>
      <c r="AE1045" s="569"/>
      <c r="AF1045" s="569"/>
      <c r="AG1045" s="569"/>
      <c r="AH1045" s="569"/>
      <c r="AI1045" s="569"/>
      <c r="AJ1045" s="569"/>
      <c r="AK1045" s="569"/>
      <c r="AL1045" s="569"/>
      <c r="AM1045" s="249"/>
    </row>
    <row r="1046" spans="1:39" s="231" customFormat="1">
      <c r="A1046" s="1"/>
      <c r="B1046" s="1"/>
      <c r="C1046" s="2"/>
      <c r="D1046" s="1"/>
      <c r="E1046" s="248"/>
      <c r="F1046" s="569"/>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69"/>
      <c r="AL1046" s="569"/>
      <c r="AM1046" s="249"/>
    </row>
    <row r="1047" spans="1:39" s="231" customFormat="1">
      <c r="A1047" s="1"/>
      <c r="B1047" s="1"/>
      <c r="C1047" s="2"/>
      <c r="D1047" s="1"/>
      <c r="E1047" s="248"/>
      <c r="F1047" s="569"/>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69"/>
      <c r="AL1047" s="569"/>
      <c r="AM1047" s="249"/>
    </row>
    <row r="1048" spans="1:39" s="231" customFormat="1" ht="32.1" customHeight="1">
      <c r="A1048" s="1"/>
      <c r="B1048" s="1"/>
      <c r="C1048" s="2"/>
      <c r="D1048" s="1"/>
      <c r="E1048" s="248"/>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69"/>
      <c r="AB1048" s="569"/>
      <c r="AC1048" s="569"/>
      <c r="AD1048" s="569"/>
      <c r="AE1048" s="569"/>
      <c r="AF1048" s="569"/>
      <c r="AG1048" s="569"/>
      <c r="AH1048" s="569"/>
      <c r="AI1048" s="569"/>
      <c r="AJ1048" s="569"/>
      <c r="AK1048" s="569"/>
      <c r="AL1048" s="569"/>
      <c r="AM1048" s="249"/>
    </row>
    <row r="1049" spans="1:39" s="96" customFormat="1" ht="9.75" customHeight="1">
      <c r="A1049" s="1"/>
      <c r="B1049" s="1"/>
      <c r="C1049" s="2"/>
      <c r="D1049" s="1"/>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row>
    <row r="1050" spans="1:39" s="231" customFormat="1" ht="26.25" customHeight="1">
      <c r="A1050" s="1"/>
      <c r="B1050" s="1"/>
      <c r="C1050" s="2"/>
      <c r="D1050" s="1"/>
      <c r="E1050" s="248"/>
      <c r="F1050" s="672" t="s">
        <v>1440</v>
      </c>
      <c r="G1050" s="672"/>
      <c r="H1050" s="672"/>
      <c r="I1050" s="672"/>
      <c r="J1050" s="672"/>
      <c r="K1050" s="672"/>
      <c r="L1050" s="672"/>
      <c r="M1050" s="672"/>
      <c r="N1050" s="672"/>
      <c r="O1050" s="672"/>
      <c r="P1050" s="672"/>
      <c r="Q1050" s="672"/>
      <c r="R1050" s="672"/>
      <c r="S1050" s="672"/>
      <c r="T1050" s="672"/>
      <c r="U1050" s="672"/>
      <c r="V1050" s="672"/>
      <c r="W1050" s="672"/>
      <c r="X1050" s="672"/>
      <c r="Y1050" s="672"/>
      <c r="Z1050" s="672"/>
      <c r="AA1050" s="672"/>
      <c r="AB1050" s="672"/>
      <c r="AC1050" s="672"/>
      <c r="AD1050" s="672"/>
      <c r="AE1050" s="672"/>
      <c r="AF1050" s="672"/>
      <c r="AG1050" s="672"/>
      <c r="AH1050" s="672"/>
      <c r="AI1050" s="672"/>
      <c r="AJ1050" s="672"/>
      <c r="AK1050" s="672"/>
      <c r="AL1050" s="672"/>
      <c r="AM1050" s="286"/>
    </row>
    <row r="1051" spans="1:39" s="231" customFormat="1">
      <c r="A1051" s="1"/>
      <c r="B1051" s="1"/>
      <c r="C1051" s="2"/>
      <c r="D1051" s="1"/>
      <c r="E1051" s="248"/>
      <c r="F1051" s="248"/>
      <c r="G1051" s="248"/>
      <c r="H1051" s="248"/>
      <c r="I1051" s="248"/>
      <c r="J1051" s="248"/>
      <c r="K1051" s="248"/>
      <c r="L1051" s="248"/>
      <c r="M1051" s="248"/>
      <c r="N1051" s="248"/>
      <c r="O1051" s="248"/>
      <c r="P1051" s="248"/>
      <c r="Q1051" s="248"/>
      <c r="R1051" s="248"/>
      <c r="S1051" s="248"/>
      <c r="T1051" s="248"/>
      <c r="U1051" s="248"/>
      <c r="V1051" s="248"/>
      <c r="W1051" s="248"/>
      <c r="X1051" s="248"/>
      <c r="Y1051" s="248"/>
      <c r="Z1051" s="248"/>
      <c r="AA1051" s="248"/>
      <c r="AB1051" s="248"/>
      <c r="AC1051" s="248"/>
      <c r="AD1051" s="248"/>
      <c r="AE1051" s="248"/>
      <c r="AF1051" s="248"/>
      <c r="AG1051" s="248"/>
      <c r="AH1051" s="248"/>
      <c r="AI1051" s="248"/>
      <c r="AJ1051" s="248"/>
      <c r="AK1051" s="248"/>
      <c r="AL1051" s="248"/>
      <c r="AM1051" s="248"/>
    </row>
    <row r="1052" spans="1:39" s="231" customFormat="1" ht="14.1" customHeight="1">
      <c r="A1052" s="1"/>
      <c r="B1052" s="1"/>
      <c r="C1052" s="2"/>
      <c r="D1052" s="1"/>
      <c r="E1052" s="248"/>
      <c r="F1052" s="672" t="s">
        <v>1382</v>
      </c>
      <c r="G1052" s="672"/>
      <c r="H1052" s="672"/>
      <c r="I1052" s="672"/>
      <c r="J1052" s="672"/>
      <c r="K1052" s="672"/>
      <c r="L1052" s="672"/>
      <c r="M1052" s="672"/>
      <c r="N1052" s="672"/>
      <c r="O1052" s="672"/>
      <c r="P1052" s="672"/>
      <c r="Q1052" s="672"/>
      <c r="R1052" s="672"/>
      <c r="S1052" s="672"/>
      <c r="T1052" s="672"/>
      <c r="U1052" s="672"/>
      <c r="V1052" s="672"/>
      <c r="W1052" s="672"/>
      <c r="X1052" s="672"/>
      <c r="Y1052" s="672"/>
      <c r="Z1052" s="672"/>
      <c r="AA1052" s="672"/>
      <c r="AB1052" s="672"/>
      <c r="AC1052" s="672"/>
      <c r="AD1052" s="672"/>
      <c r="AE1052" s="672"/>
      <c r="AF1052" s="672"/>
      <c r="AG1052" s="672"/>
      <c r="AH1052" s="286"/>
      <c r="AI1052" s="286"/>
      <c r="AJ1052" s="286"/>
      <c r="AK1052" s="286"/>
      <c r="AL1052" s="286"/>
      <c r="AM1052" s="286"/>
    </row>
    <row r="1053" spans="1:39" s="231" customFormat="1">
      <c r="A1053" s="1"/>
      <c r="B1053" s="1"/>
      <c r="C1053" s="2"/>
      <c r="D1053" s="1"/>
      <c r="E1053" s="248"/>
      <c r="F1053" s="248"/>
      <c r="G1053" s="248"/>
      <c r="H1053" s="248"/>
      <c r="I1053" s="248"/>
      <c r="J1053" s="248"/>
      <c r="K1053" s="248"/>
      <c r="L1053" s="248"/>
      <c r="M1053" s="248"/>
      <c r="N1053" s="248"/>
      <c r="O1053" s="248"/>
      <c r="P1053" s="248"/>
      <c r="Q1053" s="248"/>
      <c r="R1053" s="248"/>
      <c r="S1053" s="248"/>
      <c r="T1053" s="248"/>
      <c r="U1053" s="248"/>
      <c r="V1053" s="248"/>
      <c r="W1053" s="248"/>
      <c r="X1053" s="248"/>
      <c r="Y1053" s="248"/>
      <c r="Z1053" s="248"/>
      <c r="AA1053" s="248"/>
      <c r="AB1053" s="248"/>
      <c r="AC1053" s="248"/>
      <c r="AD1053" s="248"/>
      <c r="AE1053" s="248"/>
      <c r="AF1053" s="248"/>
      <c r="AG1053" s="248"/>
      <c r="AH1053" s="248"/>
      <c r="AI1053" s="248"/>
      <c r="AJ1053" s="248"/>
      <c r="AK1053" s="248"/>
      <c r="AL1053" s="248"/>
      <c r="AM1053" s="248"/>
    </row>
    <row r="1054" spans="1:39" s="231" customFormat="1" ht="14.1" customHeight="1">
      <c r="A1054" s="1"/>
      <c r="B1054" s="1"/>
      <c r="C1054" s="2"/>
      <c r="D1054" s="1"/>
      <c r="E1054" s="248"/>
      <c r="F1054" s="569" t="s">
        <v>1383</v>
      </c>
      <c r="G1054" s="569"/>
      <c r="H1054" s="569"/>
      <c r="I1054" s="569"/>
      <c r="J1054" s="569"/>
      <c r="K1054" s="569"/>
      <c r="L1054" s="569"/>
      <c r="M1054" s="569"/>
      <c r="N1054" s="569"/>
      <c r="O1054" s="569"/>
      <c r="P1054" s="569"/>
      <c r="Q1054" s="569"/>
      <c r="R1054" s="569"/>
      <c r="S1054" s="569"/>
      <c r="T1054" s="569"/>
      <c r="U1054" s="569"/>
      <c r="V1054" s="569"/>
      <c r="W1054" s="569"/>
      <c r="X1054" s="569"/>
      <c r="Y1054" s="569"/>
      <c r="Z1054" s="569"/>
      <c r="AA1054" s="569"/>
      <c r="AB1054" s="569"/>
      <c r="AC1054" s="569"/>
      <c r="AD1054" s="569"/>
      <c r="AE1054" s="569"/>
      <c r="AF1054" s="569"/>
      <c r="AG1054" s="569"/>
      <c r="AH1054" s="569"/>
      <c r="AI1054" s="569"/>
      <c r="AJ1054" s="569"/>
      <c r="AK1054" s="569"/>
      <c r="AL1054" s="569"/>
      <c r="AM1054" s="249"/>
    </row>
    <row r="1055" spans="1:39" s="231" customFormat="1">
      <c r="A1055" s="1"/>
      <c r="B1055" s="1"/>
      <c r="C1055" s="2"/>
      <c r="D1055" s="1"/>
      <c r="E1055" s="248"/>
      <c r="F1055" s="569"/>
      <c r="G1055" s="569"/>
      <c r="H1055" s="569"/>
      <c r="I1055" s="569"/>
      <c r="J1055" s="569"/>
      <c r="K1055" s="569"/>
      <c r="L1055" s="569"/>
      <c r="M1055" s="569"/>
      <c r="N1055" s="569"/>
      <c r="O1055" s="569"/>
      <c r="P1055" s="569"/>
      <c r="Q1055" s="569"/>
      <c r="R1055" s="569"/>
      <c r="S1055" s="569"/>
      <c r="T1055" s="569"/>
      <c r="U1055" s="569"/>
      <c r="V1055" s="569"/>
      <c r="W1055" s="569"/>
      <c r="X1055" s="569"/>
      <c r="Y1055" s="569"/>
      <c r="Z1055" s="569"/>
      <c r="AA1055" s="569"/>
      <c r="AB1055" s="569"/>
      <c r="AC1055" s="569"/>
      <c r="AD1055" s="569"/>
      <c r="AE1055" s="569"/>
      <c r="AF1055" s="569"/>
      <c r="AG1055" s="569"/>
      <c r="AH1055" s="569"/>
      <c r="AI1055" s="569"/>
      <c r="AJ1055" s="569"/>
      <c r="AK1055" s="569"/>
      <c r="AL1055" s="569"/>
      <c r="AM1055" s="249"/>
    </row>
    <row r="1056" spans="1:39" s="231" customFormat="1">
      <c r="A1056" s="1"/>
      <c r="B1056" s="1"/>
      <c r="C1056" s="2"/>
      <c r="D1056" s="1"/>
      <c r="E1056" s="248"/>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69"/>
      <c r="AB1056" s="569"/>
      <c r="AC1056" s="569"/>
      <c r="AD1056" s="569"/>
      <c r="AE1056" s="569"/>
      <c r="AF1056" s="569"/>
      <c r="AG1056" s="569"/>
      <c r="AH1056" s="569"/>
      <c r="AI1056" s="569"/>
      <c r="AJ1056" s="569"/>
      <c r="AK1056" s="569"/>
      <c r="AL1056" s="569"/>
      <c r="AM1056" s="249"/>
    </row>
    <row r="1057" spans="1:39">
      <c r="E1057" s="54"/>
      <c r="F1057" s="54"/>
      <c r="G1057" s="54"/>
      <c r="H1057" s="54"/>
      <c r="I1057" s="54"/>
      <c r="J1057" s="54"/>
      <c r="K1057" s="54"/>
      <c r="L1057" s="54"/>
      <c r="M1057" s="54"/>
      <c r="N1057" s="54"/>
      <c r="O1057" s="54"/>
      <c r="P1057" s="54"/>
      <c r="Q1057" s="54"/>
      <c r="R1057" s="54"/>
      <c r="S1057" s="54"/>
      <c r="T1057" s="54"/>
      <c r="U1057" s="54"/>
      <c r="V1057" s="54"/>
      <c r="W1057" s="54"/>
      <c r="X1057" s="54"/>
      <c r="Y1057" s="54"/>
      <c r="Z1057" s="54"/>
      <c r="AA1057" s="54"/>
      <c r="AB1057" s="54"/>
      <c r="AC1057" s="54"/>
      <c r="AD1057" s="54"/>
      <c r="AE1057" s="54"/>
      <c r="AF1057" s="54"/>
      <c r="AG1057" s="54"/>
      <c r="AH1057" s="54"/>
      <c r="AI1057" s="54"/>
      <c r="AJ1057" s="54"/>
      <c r="AK1057" s="54"/>
      <c r="AL1057" s="54"/>
      <c r="AM1057" s="54"/>
    </row>
    <row r="1058" spans="1:39" ht="12.75" hidden="1" customHeight="1">
      <c r="E1058" s="54"/>
      <c r="F1058" s="671" t="s">
        <v>257</v>
      </c>
      <c r="G1058" s="671"/>
      <c r="H1058" s="671"/>
      <c r="I1058" s="671"/>
      <c r="J1058" s="671"/>
      <c r="K1058" s="671"/>
      <c r="L1058" s="671"/>
      <c r="M1058" s="671"/>
      <c r="N1058" s="671"/>
      <c r="O1058" s="671"/>
      <c r="P1058" s="671"/>
      <c r="Q1058" s="671"/>
      <c r="R1058" s="671"/>
      <c r="S1058" s="671"/>
      <c r="T1058" s="671"/>
      <c r="U1058" s="671"/>
      <c r="V1058" s="671"/>
      <c r="W1058" s="671"/>
      <c r="X1058" s="671"/>
      <c r="Y1058" s="671"/>
      <c r="Z1058" s="671"/>
      <c r="AA1058" s="671"/>
      <c r="AB1058" s="671"/>
      <c r="AC1058" s="671"/>
      <c r="AD1058" s="671"/>
      <c r="AE1058" s="671"/>
      <c r="AF1058" s="671"/>
      <c r="AG1058" s="671"/>
      <c r="AH1058" s="671"/>
      <c r="AI1058" s="671"/>
      <c r="AJ1058" s="671"/>
      <c r="AK1058" s="671"/>
      <c r="AL1058" s="671"/>
      <c r="AM1058" s="671"/>
    </row>
    <row r="1059" spans="1:39" ht="12.75" hidden="1" customHeight="1">
      <c r="E1059" s="54"/>
      <c r="F1059" s="655" t="s">
        <v>258</v>
      </c>
      <c r="G1059" s="655"/>
      <c r="H1059" s="655"/>
      <c r="I1059" s="655"/>
      <c r="J1059" s="655"/>
      <c r="K1059" s="655"/>
      <c r="L1059" s="655"/>
      <c r="M1059" s="655"/>
      <c r="N1059" s="655"/>
      <c r="O1059" s="655"/>
      <c r="P1059" s="655"/>
      <c r="Q1059" s="655"/>
      <c r="R1059" s="655"/>
      <c r="S1059" s="655"/>
      <c r="T1059" s="655"/>
      <c r="U1059" s="655"/>
      <c r="V1059" s="655"/>
      <c r="W1059" s="655"/>
      <c r="X1059" s="655"/>
      <c r="Y1059" s="655"/>
      <c r="Z1059" s="655"/>
      <c r="AA1059" s="655"/>
      <c r="AB1059" s="655"/>
      <c r="AC1059" s="655"/>
      <c r="AD1059" s="655"/>
      <c r="AE1059" s="655"/>
      <c r="AF1059" s="655"/>
      <c r="AG1059" s="655"/>
      <c r="AH1059" s="655"/>
      <c r="AI1059" s="655"/>
      <c r="AJ1059" s="655"/>
      <c r="AK1059" s="655"/>
      <c r="AL1059" s="655"/>
      <c r="AM1059" s="655"/>
    </row>
    <row r="1060" spans="1:39" hidden="1">
      <c r="E1060" s="54"/>
      <c r="F1060" s="655"/>
      <c r="G1060" s="655"/>
      <c r="H1060" s="655"/>
      <c r="I1060" s="655"/>
      <c r="J1060" s="655"/>
      <c r="K1060" s="655"/>
      <c r="L1060" s="655"/>
      <c r="M1060" s="655"/>
      <c r="N1060" s="655"/>
      <c r="O1060" s="655"/>
      <c r="P1060" s="655"/>
      <c r="Q1060" s="655"/>
      <c r="R1060" s="655"/>
      <c r="S1060" s="655"/>
      <c r="T1060" s="655"/>
      <c r="U1060" s="655"/>
      <c r="V1060" s="655"/>
      <c r="W1060" s="655"/>
      <c r="X1060" s="655"/>
      <c r="Y1060" s="655"/>
      <c r="Z1060" s="655"/>
      <c r="AA1060" s="655"/>
      <c r="AB1060" s="655"/>
      <c r="AC1060" s="655"/>
      <c r="AD1060" s="655"/>
      <c r="AE1060" s="655"/>
      <c r="AF1060" s="655"/>
      <c r="AG1060" s="655"/>
      <c r="AH1060" s="655"/>
      <c r="AI1060" s="655"/>
      <c r="AJ1060" s="655"/>
      <c r="AK1060" s="655"/>
      <c r="AL1060" s="655"/>
      <c r="AM1060" s="655"/>
    </row>
    <row r="1061" spans="1:39" hidden="1">
      <c r="E1061" s="54"/>
      <c r="F1061" s="655"/>
      <c r="G1061" s="655"/>
      <c r="H1061" s="655"/>
      <c r="I1061" s="655"/>
      <c r="J1061" s="655"/>
      <c r="K1061" s="655"/>
      <c r="L1061" s="655"/>
      <c r="M1061" s="655"/>
      <c r="N1061" s="655"/>
      <c r="O1061" s="655"/>
      <c r="P1061" s="655"/>
      <c r="Q1061" s="655"/>
      <c r="R1061" s="655"/>
      <c r="S1061" s="655"/>
      <c r="T1061" s="655"/>
      <c r="U1061" s="655"/>
      <c r="V1061" s="655"/>
      <c r="W1061" s="655"/>
      <c r="X1061" s="655"/>
      <c r="Y1061" s="655"/>
      <c r="Z1061" s="655"/>
      <c r="AA1061" s="655"/>
      <c r="AB1061" s="655"/>
      <c r="AC1061" s="655"/>
      <c r="AD1061" s="655"/>
      <c r="AE1061" s="655"/>
      <c r="AF1061" s="655"/>
      <c r="AG1061" s="655"/>
      <c r="AH1061" s="655"/>
      <c r="AI1061" s="655"/>
      <c r="AJ1061" s="655"/>
      <c r="AK1061" s="655"/>
      <c r="AL1061" s="655"/>
      <c r="AM1061" s="655"/>
    </row>
    <row r="1062" spans="1:39" hidden="1">
      <c r="E1062" s="54"/>
      <c r="F1062" s="54"/>
      <c r="G1062" s="54"/>
      <c r="H1062" s="54"/>
      <c r="I1062" s="54"/>
      <c r="J1062" s="54"/>
      <c r="K1062" s="54"/>
      <c r="L1062" s="54"/>
      <c r="M1062" s="54"/>
      <c r="N1062" s="54"/>
      <c r="O1062" s="54"/>
      <c r="P1062" s="54"/>
      <c r="Q1062" s="54"/>
      <c r="R1062" s="54"/>
      <c r="S1062" s="54"/>
      <c r="T1062" s="54"/>
      <c r="U1062" s="54"/>
      <c r="V1062" s="54"/>
      <c r="W1062" s="54"/>
      <c r="X1062" s="54"/>
      <c r="Y1062" s="54"/>
      <c r="Z1062" s="54"/>
      <c r="AA1062" s="54"/>
      <c r="AB1062" s="54"/>
      <c r="AC1062" s="54"/>
      <c r="AD1062" s="54"/>
      <c r="AE1062" s="54"/>
      <c r="AF1062" s="54"/>
      <c r="AG1062" s="54"/>
      <c r="AH1062" s="54"/>
      <c r="AI1062" s="54"/>
      <c r="AJ1062" s="54"/>
      <c r="AK1062" s="54"/>
      <c r="AL1062" s="54"/>
      <c r="AM1062" s="54"/>
    </row>
    <row r="1063" spans="1:39" ht="12.75" hidden="1" customHeight="1">
      <c r="E1063" s="54"/>
      <c r="F1063" s="655" t="s">
        <v>259</v>
      </c>
      <c r="G1063" s="655"/>
      <c r="H1063" s="655"/>
      <c r="I1063" s="655"/>
      <c r="J1063" s="655"/>
      <c r="K1063" s="655"/>
      <c r="L1063" s="655"/>
      <c r="M1063" s="655"/>
      <c r="N1063" s="655"/>
      <c r="O1063" s="655"/>
      <c r="P1063" s="655"/>
      <c r="Q1063" s="655"/>
      <c r="R1063" s="655"/>
      <c r="S1063" s="655"/>
      <c r="T1063" s="655"/>
      <c r="U1063" s="655"/>
      <c r="V1063" s="655"/>
      <c r="W1063" s="655"/>
      <c r="X1063" s="655"/>
      <c r="Y1063" s="655"/>
      <c r="Z1063" s="655"/>
      <c r="AA1063" s="655"/>
      <c r="AB1063" s="655"/>
      <c r="AC1063" s="655"/>
      <c r="AD1063" s="655"/>
      <c r="AE1063" s="655"/>
      <c r="AF1063" s="655"/>
      <c r="AG1063" s="655"/>
      <c r="AH1063" s="655"/>
      <c r="AI1063" s="655"/>
      <c r="AJ1063" s="655"/>
      <c r="AK1063" s="655"/>
      <c r="AL1063" s="655"/>
      <c r="AM1063" s="655"/>
    </row>
    <row r="1064" spans="1:39" hidden="1">
      <c r="E1064" s="54"/>
      <c r="F1064" s="655"/>
      <c r="G1064" s="655"/>
      <c r="H1064" s="655"/>
      <c r="I1064" s="655"/>
      <c r="J1064" s="655"/>
      <c r="K1064" s="655"/>
      <c r="L1064" s="655"/>
      <c r="M1064" s="655"/>
      <c r="N1064" s="655"/>
      <c r="O1064" s="655"/>
      <c r="P1064" s="655"/>
      <c r="Q1064" s="655"/>
      <c r="R1064" s="655"/>
      <c r="S1064" s="655"/>
      <c r="T1064" s="655"/>
      <c r="U1064" s="655"/>
      <c r="V1064" s="655"/>
      <c r="W1064" s="655"/>
      <c r="X1064" s="655"/>
      <c r="Y1064" s="655"/>
      <c r="Z1064" s="655"/>
      <c r="AA1064" s="655"/>
      <c r="AB1064" s="655"/>
      <c r="AC1064" s="655"/>
      <c r="AD1064" s="655"/>
      <c r="AE1064" s="655"/>
      <c r="AF1064" s="655"/>
      <c r="AG1064" s="655"/>
      <c r="AH1064" s="655"/>
      <c r="AI1064" s="655"/>
      <c r="AJ1064" s="655"/>
      <c r="AK1064" s="655"/>
      <c r="AL1064" s="655"/>
      <c r="AM1064" s="655"/>
    </row>
    <row r="1065" spans="1:39" hidden="1">
      <c r="E1065" s="54"/>
      <c r="F1065" s="655"/>
      <c r="G1065" s="655"/>
      <c r="H1065" s="655"/>
      <c r="I1065" s="655"/>
      <c r="J1065" s="655"/>
      <c r="K1065" s="655"/>
      <c r="L1065" s="655"/>
      <c r="M1065" s="655"/>
      <c r="N1065" s="655"/>
      <c r="O1065" s="655"/>
      <c r="P1065" s="655"/>
      <c r="Q1065" s="655"/>
      <c r="R1065" s="655"/>
      <c r="S1065" s="655"/>
      <c r="T1065" s="655"/>
      <c r="U1065" s="655"/>
      <c r="V1065" s="655"/>
      <c r="W1065" s="655"/>
      <c r="X1065" s="655"/>
      <c r="Y1065" s="655"/>
      <c r="Z1065" s="655"/>
      <c r="AA1065" s="655"/>
      <c r="AB1065" s="655"/>
      <c r="AC1065" s="655"/>
      <c r="AD1065" s="655"/>
      <c r="AE1065" s="655"/>
      <c r="AF1065" s="655"/>
      <c r="AG1065" s="655"/>
      <c r="AH1065" s="655"/>
      <c r="AI1065" s="655"/>
      <c r="AJ1065" s="655"/>
      <c r="AK1065" s="655"/>
      <c r="AL1065" s="655"/>
      <c r="AM1065" s="655"/>
    </row>
    <row r="1066" spans="1:39" hidden="1">
      <c r="E1066" s="54"/>
      <c r="F1066" s="655"/>
      <c r="G1066" s="655"/>
      <c r="H1066" s="655"/>
      <c r="I1066" s="655"/>
      <c r="J1066" s="655"/>
      <c r="K1066" s="655"/>
      <c r="L1066" s="655"/>
      <c r="M1066" s="655"/>
      <c r="N1066" s="655"/>
      <c r="O1066" s="655"/>
      <c r="P1066" s="655"/>
      <c r="Q1066" s="655"/>
      <c r="R1066" s="655"/>
      <c r="S1066" s="655"/>
      <c r="T1066" s="655"/>
      <c r="U1066" s="655"/>
      <c r="V1066" s="655"/>
      <c r="W1066" s="655"/>
      <c r="X1066" s="655"/>
      <c r="Y1066" s="655"/>
      <c r="Z1066" s="655"/>
      <c r="AA1066" s="655"/>
      <c r="AB1066" s="655"/>
      <c r="AC1066" s="655"/>
      <c r="AD1066" s="655"/>
      <c r="AE1066" s="655"/>
      <c r="AF1066" s="655"/>
      <c r="AG1066" s="655"/>
      <c r="AH1066" s="655"/>
      <c r="AI1066" s="655"/>
      <c r="AJ1066" s="655"/>
      <c r="AK1066" s="655"/>
      <c r="AL1066" s="655"/>
      <c r="AM1066" s="655"/>
    </row>
    <row r="1067" spans="1:39" hidden="1">
      <c r="E1067" s="54"/>
      <c r="F1067" s="54"/>
      <c r="G1067" s="54"/>
      <c r="H1067" s="54"/>
      <c r="I1067" s="54"/>
      <c r="J1067" s="54"/>
      <c r="K1067" s="54"/>
      <c r="L1067" s="54"/>
      <c r="M1067" s="54"/>
      <c r="N1067" s="54"/>
      <c r="O1067" s="54"/>
      <c r="P1067" s="54"/>
      <c r="Q1067" s="54"/>
      <c r="R1067" s="54"/>
      <c r="S1067" s="54"/>
      <c r="T1067" s="54"/>
      <c r="U1067" s="54"/>
      <c r="V1067" s="54"/>
      <c r="W1067" s="54"/>
      <c r="X1067" s="54"/>
      <c r="Y1067" s="54"/>
      <c r="Z1067" s="54"/>
      <c r="AA1067" s="54"/>
      <c r="AB1067" s="54"/>
      <c r="AC1067" s="54"/>
      <c r="AD1067" s="54"/>
      <c r="AE1067" s="54"/>
      <c r="AF1067" s="54"/>
      <c r="AG1067" s="54"/>
      <c r="AH1067" s="54"/>
      <c r="AI1067" s="54"/>
      <c r="AJ1067" s="54"/>
      <c r="AK1067" s="54"/>
      <c r="AL1067" s="54"/>
      <c r="AM1067" s="54"/>
    </row>
    <row r="1068" spans="1:39" hidden="1">
      <c r="E1068" s="54"/>
      <c r="F1068" s="655" t="s">
        <v>260</v>
      </c>
      <c r="G1068" s="655"/>
      <c r="H1068" s="655"/>
      <c r="I1068" s="655"/>
      <c r="J1068" s="655"/>
      <c r="K1068" s="655"/>
      <c r="L1068" s="655"/>
      <c r="M1068" s="655"/>
      <c r="N1068" s="655"/>
      <c r="O1068" s="655"/>
      <c r="P1068" s="655"/>
      <c r="Q1068" s="655"/>
      <c r="R1068" s="655"/>
      <c r="S1068" s="655"/>
      <c r="T1068" s="655"/>
      <c r="U1068" s="655"/>
      <c r="V1068" s="655"/>
      <c r="W1068" s="655"/>
      <c r="X1068" s="655"/>
      <c r="Y1068" s="655"/>
      <c r="Z1068" s="655"/>
      <c r="AA1068" s="655"/>
      <c r="AB1068" s="655"/>
      <c r="AC1068" s="655"/>
      <c r="AD1068" s="655"/>
      <c r="AE1068" s="655"/>
      <c r="AF1068" s="655"/>
      <c r="AG1068" s="655"/>
      <c r="AH1068" s="655"/>
      <c r="AI1068" s="655"/>
      <c r="AJ1068" s="655"/>
      <c r="AK1068" s="655"/>
      <c r="AL1068" s="655"/>
      <c r="AM1068" s="655"/>
    </row>
    <row r="1069" spans="1:39" hidden="1">
      <c r="E1069" s="54"/>
      <c r="F1069" s="655"/>
      <c r="G1069" s="655"/>
      <c r="H1069" s="655"/>
      <c r="I1069" s="655"/>
      <c r="J1069" s="655"/>
      <c r="K1069" s="655"/>
      <c r="L1069" s="655"/>
      <c r="M1069" s="655"/>
      <c r="N1069" s="655"/>
      <c r="O1069" s="655"/>
      <c r="P1069" s="655"/>
      <c r="Q1069" s="655"/>
      <c r="R1069" s="655"/>
      <c r="S1069" s="655"/>
      <c r="T1069" s="655"/>
      <c r="U1069" s="655"/>
      <c r="V1069" s="655"/>
      <c r="W1069" s="655"/>
      <c r="X1069" s="655"/>
      <c r="Y1069" s="655"/>
      <c r="Z1069" s="655"/>
      <c r="AA1069" s="655"/>
      <c r="AB1069" s="655"/>
      <c r="AC1069" s="655"/>
      <c r="AD1069" s="655"/>
      <c r="AE1069" s="655"/>
      <c r="AF1069" s="655"/>
      <c r="AG1069" s="655"/>
      <c r="AH1069" s="655"/>
      <c r="AI1069" s="655"/>
      <c r="AJ1069" s="655"/>
      <c r="AK1069" s="655"/>
      <c r="AL1069" s="655"/>
      <c r="AM1069" s="655"/>
    </row>
    <row r="1070" spans="1:39" s="231" customFormat="1" ht="14.1" customHeight="1">
      <c r="A1070" s="1"/>
      <c r="B1070" s="1"/>
      <c r="C1070" s="2"/>
      <c r="D1070" s="1"/>
      <c r="E1070" s="265"/>
      <c r="F1070" s="760" t="s">
        <v>1665</v>
      </c>
      <c r="G1070" s="760"/>
      <c r="H1070" s="760"/>
      <c r="I1070" s="760"/>
      <c r="J1070" s="760"/>
      <c r="K1070" s="760"/>
      <c r="L1070" s="760"/>
      <c r="M1070" s="760"/>
      <c r="N1070" s="760"/>
      <c r="O1070" s="760"/>
      <c r="P1070" s="760"/>
      <c r="Q1070" s="760"/>
      <c r="R1070" s="760"/>
      <c r="S1070" s="760"/>
      <c r="T1070" s="760"/>
      <c r="U1070" s="760"/>
      <c r="V1070" s="760"/>
      <c r="W1070" s="760"/>
      <c r="X1070" s="760"/>
      <c r="Y1070" s="760"/>
      <c r="Z1070" s="760"/>
      <c r="AA1070" s="760"/>
      <c r="AB1070" s="760"/>
      <c r="AC1070" s="760"/>
      <c r="AD1070" s="760"/>
      <c r="AE1070" s="760"/>
      <c r="AF1070" s="760"/>
      <c r="AG1070" s="760"/>
      <c r="AH1070" s="760"/>
      <c r="AI1070" s="760"/>
      <c r="AJ1070" s="760"/>
      <c r="AK1070" s="760"/>
      <c r="AL1070" s="760"/>
      <c r="AM1070" s="288"/>
    </row>
    <row r="1071" spans="1:39" s="231" customFormat="1">
      <c r="A1071" s="1"/>
      <c r="B1071" s="1"/>
      <c r="C1071" s="2"/>
      <c r="D1071" s="1"/>
      <c r="E1071" s="265"/>
      <c r="F1071" s="760"/>
      <c r="G1071" s="760"/>
      <c r="H1071" s="760"/>
      <c r="I1071" s="760"/>
      <c r="J1071" s="760"/>
      <c r="K1071" s="760"/>
      <c r="L1071" s="760"/>
      <c r="M1071" s="760"/>
      <c r="N1071" s="760"/>
      <c r="O1071" s="760"/>
      <c r="P1071" s="760"/>
      <c r="Q1071" s="760"/>
      <c r="R1071" s="760"/>
      <c r="S1071" s="760"/>
      <c r="T1071" s="760"/>
      <c r="U1071" s="760"/>
      <c r="V1071" s="760"/>
      <c r="W1071" s="760"/>
      <c r="X1071" s="760"/>
      <c r="Y1071" s="760"/>
      <c r="Z1071" s="760"/>
      <c r="AA1071" s="760"/>
      <c r="AB1071" s="760"/>
      <c r="AC1071" s="760"/>
      <c r="AD1071" s="760"/>
      <c r="AE1071" s="760"/>
      <c r="AF1071" s="760"/>
      <c r="AG1071" s="760"/>
      <c r="AH1071" s="760"/>
      <c r="AI1071" s="760"/>
      <c r="AJ1071" s="760"/>
      <c r="AK1071" s="760"/>
      <c r="AL1071" s="760"/>
      <c r="AM1071" s="288"/>
    </row>
    <row r="1072" spans="1:39" s="231" customFormat="1">
      <c r="A1072" s="1"/>
      <c r="B1072" s="1"/>
      <c r="C1072" s="2"/>
      <c r="D1072" s="1"/>
      <c r="E1072" s="265"/>
      <c r="F1072" s="760"/>
      <c r="G1072" s="760"/>
      <c r="H1072" s="760"/>
      <c r="I1072" s="760"/>
      <c r="J1072" s="760"/>
      <c r="K1072" s="760"/>
      <c r="L1072" s="760"/>
      <c r="M1072" s="760"/>
      <c r="N1072" s="760"/>
      <c r="O1072" s="760"/>
      <c r="P1072" s="760"/>
      <c r="Q1072" s="760"/>
      <c r="R1072" s="760"/>
      <c r="S1072" s="760"/>
      <c r="T1072" s="760"/>
      <c r="U1072" s="760"/>
      <c r="V1072" s="760"/>
      <c r="W1072" s="760"/>
      <c r="X1072" s="760"/>
      <c r="Y1072" s="760"/>
      <c r="Z1072" s="760"/>
      <c r="AA1072" s="760"/>
      <c r="AB1072" s="760"/>
      <c r="AC1072" s="760"/>
      <c r="AD1072" s="760"/>
      <c r="AE1072" s="760"/>
      <c r="AF1072" s="760"/>
      <c r="AG1072" s="760"/>
      <c r="AH1072" s="760"/>
      <c r="AI1072" s="760"/>
      <c r="AJ1072" s="760"/>
      <c r="AK1072" s="760"/>
      <c r="AL1072" s="760"/>
      <c r="AM1072" s="265"/>
    </row>
    <row r="1073" spans="1:39" s="231" customFormat="1">
      <c r="A1073" s="1"/>
      <c r="B1073" s="1"/>
      <c r="C1073" s="2"/>
      <c r="D1073" s="1"/>
      <c r="E1073" s="265"/>
      <c r="F1073" s="745" t="s">
        <v>1384</v>
      </c>
      <c r="G1073" s="745"/>
      <c r="H1073" s="745"/>
      <c r="I1073" s="745"/>
      <c r="J1073" s="745"/>
      <c r="K1073" s="745"/>
      <c r="L1073" s="745"/>
      <c r="M1073" s="745"/>
      <c r="N1073" s="745"/>
      <c r="O1073" s="745"/>
      <c r="P1073" s="745"/>
      <c r="Q1073" s="745"/>
      <c r="R1073" s="745"/>
      <c r="S1073" s="745"/>
      <c r="T1073" s="745"/>
      <c r="U1073" s="745"/>
      <c r="V1073" s="745"/>
      <c r="W1073" s="745"/>
      <c r="X1073" s="745"/>
      <c r="Y1073" s="745"/>
      <c r="Z1073" s="745"/>
      <c r="AA1073" s="745"/>
      <c r="AB1073" s="745"/>
      <c r="AC1073" s="745"/>
      <c r="AD1073" s="745"/>
      <c r="AE1073" s="745"/>
      <c r="AF1073" s="745"/>
      <c r="AG1073" s="745"/>
      <c r="AH1073" s="745"/>
      <c r="AI1073" s="745"/>
      <c r="AJ1073" s="745"/>
      <c r="AK1073" s="745"/>
      <c r="AL1073" s="745"/>
      <c r="AM1073" s="745"/>
    </row>
    <row r="1074" spans="1:39" s="231" customFormat="1">
      <c r="A1074" s="1"/>
      <c r="B1074" s="1"/>
      <c r="C1074" s="2"/>
      <c r="D1074" s="1"/>
      <c r="E1074" s="265"/>
      <c r="F1074" s="265"/>
      <c r="G1074" s="265"/>
      <c r="H1074" s="265"/>
      <c r="I1074" s="265"/>
      <c r="J1074" s="265"/>
      <c r="K1074" s="265"/>
      <c r="L1074" s="265"/>
      <c r="M1074" s="265"/>
      <c r="N1074" s="265"/>
      <c r="O1074" s="265"/>
      <c r="P1074" s="265"/>
      <c r="Q1074" s="265"/>
      <c r="R1074" s="265"/>
      <c r="S1074" s="265"/>
      <c r="T1074" s="265"/>
      <c r="U1074" s="265"/>
      <c r="V1074" s="265"/>
      <c r="W1074" s="265"/>
      <c r="X1074" s="265"/>
      <c r="Y1074" s="265"/>
      <c r="Z1074" s="265"/>
      <c r="AA1074" s="265"/>
      <c r="AB1074" s="265"/>
      <c r="AC1074" s="265"/>
      <c r="AD1074" s="265"/>
      <c r="AE1074" s="265"/>
      <c r="AF1074" s="265"/>
      <c r="AG1074" s="265"/>
      <c r="AH1074" s="265"/>
      <c r="AI1074" s="265"/>
      <c r="AJ1074" s="265"/>
      <c r="AK1074" s="265"/>
      <c r="AL1074" s="265"/>
      <c r="AM1074" s="265"/>
    </row>
    <row r="1075" spans="1:39" s="231" customFormat="1" ht="9.75" customHeight="1">
      <c r="A1075" s="1"/>
      <c r="B1075" s="1"/>
      <c r="C1075" s="2"/>
      <c r="D1075" s="1"/>
      <c r="E1075" s="265"/>
      <c r="F1075" s="761" t="s">
        <v>1385</v>
      </c>
      <c r="G1075" s="761"/>
      <c r="H1075" s="761"/>
      <c r="I1075" s="761"/>
      <c r="J1075" s="761"/>
      <c r="K1075" s="761"/>
      <c r="L1075" s="761"/>
      <c r="M1075" s="761"/>
      <c r="N1075" s="761"/>
      <c r="O1075" s="761"/>
      <c r="P1075" s="761"/>
      <c r="Q1075" s="761"/>
      <c r="R1075" s="761"/>
      <c r="S1075" s="761"/>
      <c r="T1075" s="761"/>
      <c r="U1075" s="761"/>
      <c r="V1075" s="761"/>
      <c r="W1075" s="761"/>
      <c r="X1075" s="761"/>
      <c r="Y1075" s="761"/>
      <c r="Z1075" s="761"/>
      <c r="AA1075" s="761"/>
      <c r="AB1075" s="761"/>
      <c r="AC1075" s="761"/>
      <c r="AD1075" s="761"/>
      <c r="AE1075" s="761"/>
      <c r="AF1075" s="761"/>
      <c r="AG1075" s="761"/>
      <c r="AH1075" s="761"/>
      <c r="AI1075" s="761"/>
      <c r="AJ1075" s="761"/>
      <c r="AK1075" s="761"/>
      <c r="AL1075" s="761"/>
      <c r="AM1075" s="289"/>
    </row>
    <row r="1076" spans="1:39" s="231" customFormat="1">
      <c r="A1076" s="1"/>
      <c r="B1076" s="1"/>
      <c r="C1076" s="2"/>
      <c r="D1076" s="1"/>
      <c r="E1076" s="265"/>
      <c r="F1076" s="761"/>
      <c r="G1076" s="761"/>
      <c r="H1076" s="761"/>
      <c r="I1076" s="761"/>
      <c r="J1076" s="761"/>
      <c r="K1076" s="761"/>
      <c r="L1076" s="761"/>
      <c r="M1076" s="761"/>
      <c r="N1076" s="761"/>
      <c r="O1076" s="761"/>
      <c r="P1076" s="761"/>
      <c r="Q1076" s="761"/>
      <c r="R1076" s="761"/>
      <c r="S1076" s="761"/>
      <c r="T1076" s="761"/>
      <c r="U1076" s="761"/>
      <c r="V1076" s="761"/>
      <c r="W1076" s="761"/>
      <c r="X1076" s="761"/>
      <c r="Y1076" s="761"/>
      <c r="Z1076" s="761"/>
      <c r="AA1076" s="761"/>
      <c r="AB1076" s="761"/>
      <c r="AC1076" s="761"/>
      <c r="AD1076" s="761"/>
      <c r="AE1076" s="761"/>
      <c r="AF1076" s="761"/>
      <c r="AG1076" s="761"/>
      <c r="AH1076" s="761"/>
      <c r="AI1076" s="761"/>
      <c r="AJ1076" s="761"/>
      <c r="AK1076" s="761"/>
      <c r="AL1076" s="761"/>
      <c r="AM1076" s="289"/>
    </row>
    <row r="1077" spans="1:39" s="231" customFormat="1" ht="79.5" customHeight="1">
      <c r="A1077" s="1"/>
      <c r="B1077" s="1"/>
      <c r="C1077" s="2"/>
      <c r="D1077" s="1"/>
      <c r="E1077" s="265"/>
      <c r="F1077" s="761"/>
      <c r="G1077" s="761"/>
      <c r="H1077" s="761"/>
      <c r="I1077" s="761"/>
      <c r="J1077" s="761"/>
      <c r="K1077" s="761"/>
      <c r="L1077" s="761"/>
      <c r="M1077" s="761"/>
      <c r="N1077" s="761"/>
      <c r="O1077" s="761"/>
      <c r="P1077" s="761"/>
      <c r="Q1077" s="761"/>
      <c r="R1077" s="761"/>
      <c r="S1077" s="761"/>
      <c r="T1077" s="761"/>
      <c r="U1077" s="761"/>
      <c r="V1077" s="761"/>
      <c r="W1077" s="761"/>
      <c r="X1077" s="761"/>
      <c r="Y1077" s="761"/>
      <c r="Z1077" s="761"/>
      <c r="AA1077" s="761"/>
      <c r="AB1077" s="761"/>
      <c r="AC1077" s="761"/>
      <c r="AD1077" s="761"/>
      <c r="AE1077" s="761"/>
      <c r="AF1077" s="761"/>
      <c r="AG1077" s="761"/>
      <c r="AH1077" s="761"/>
      <c r="AI1077" s="761"/>
      <c r="AJ1077" s="761"/>
      <c r="AK1077" s="761"/>
      <c r="AL1077" s="761"/>
      <c r="AM1077" s="289"/>
    </row>
    <row r="1078" spans="1:39" s="231" customFormat="1">
      <c r="A1078" s="1"/>
      <c r="B1078" s="1"/>
      <c r="C1078" s="2"/>
      <c r="D1078" s="1"/>
      <c r="E1078" s="265"/>
      <c r="F1078" s="265"/>
      <c r="G1078" s="265"/>
      <c r="H1078" s="265"/>
      <c r="I1078" s="265"/>
      <c r="J1078" s="265"/>
      <c r="K1078" s="265"/>
      <c r="L1078" s="265"/>
      <c r="M1078" s="265"/>
      <c r="N1078" s="265"/>
      <c r="O1078" s="265"/>
      <c r="P1078" s="265"/>
      <c r="Q1078" s="265"/>
      <c r="R1078" s="265"/>
      <c r="S1078" s="265"/>
      <c r="T1078" s="265"/>
      <c r="U1078" s="265"/>
      <c r="V1078" s="265"/>
      <c r="W1078" s="265"/>
      <c r="X1078" s="265"/>
      <c r="Y1078" s="265"/>
      <c r="Z1078" s="265"/>
      <c r="AA1078" s="265"/>
      <c r="AB1078" s="265"/>
      <c r="AC1078" s="265"/>
      <c r="AD1078" s="265"/>
      <c r="AE1078" s="265"/>
      <c r="AF1078" s="265"/>
      <c r="AG1078" s="265"/>
      <c r="AH1078" s="265"/>
      <c r="AI1078" s="265"/>
      <c r="AJ1078" s="265"/>
      <c r="AK1078" s="265"/>
      <c r="AL1078" s="265"/>
      <c r="AM1078" s="265"/>
    </row>
    <row r="1079" spans="1:39" s="231" customFormat="1" ht="14.1" customHeight="1">
      <c r="A1079" s="1"/>
      <c r="B1079" s="1"/>
      <c r="C1079" s="2"/>
      <c r="D1079" s="1"/>
      <c r="E1079" s="265"/>
      <c r="F1079" s="760" t="s">
        <v>1386</v>
      </c>
      <c r="G1079" s="760"/>
      <c r="H1079" s="760"/>
      <c r="I1079" s="760"/>
      <c r="J1079" s="760"/>
      <c r="K1079" s="760"/>
      <c r="L1079" s="760"/>
      <c r="M1079" s="760"/>
      <c r="N1079" s="760"/>
      <c r="O1079" s="760"/>
      <c r="P1079" s="760"/>
      <c r="Q1079" s="760"/>
      <c r="R1079" s="760"/>
      <c r="S1079" s="760"/>
      <c r="T1079" s="760"/>
      <c r="U1079" s="760"/>
      <c r="V1079" s="760"/>
      <c r="W1079" s="760"/>
      <c r="X1079" s="760"/>
      <c r="Y1079" s="760"/>
      <c r="Z1079" s="760"/>
      <c r="AA1079" s="760"/>
      <c r="AB1079" s="760"/>
      <c r="AC1079" s="760"/>
      <c r="AD1079" s="760"/>
      <c r="AE1079" s="760"/>
      <c r="AF1079" s="760"/>
      <c r="AG1079" s="760"/>
      <c r="AH1079" s="760"/>
      <c r="AI1079" s="760"/>
      <c r="AJ1079" s="760"/>
      <c r="AK1079" s="760"/>
      <c r="AL1079" s="760"/>
      <c r="AM1079" s="290"/>
    </row>
    <row r="1080" spans="1:39" s="231" customFormat="1">
      <c r="A1080" s="1"/>
      <c r="B1080" s="1"/>
      <c r="C1080" s="2"/>
      <c r="D1080" s="1"/>
      <c r="E1080" s="265"/>
      <c r="F1080" s="760"/>
      <c r="G1080" s="760"/>
      <c r="H1080" s="760"/>
      <c r="I1080" s="760"/>
      <c r="J1080" s="760"/>
      <c r="K1080" s="760"/>
      <c r="L1080" s="760"/>
      <c r="M1080" s="760"/>
      <c r="N1080" s="760"/>
      <c r="O1080" s="760"/>
      <c r="P1080" s="760"/>
      <c r="Q1080" s="760"/>
      <c r="R1080" s="760"/>
      <c r="S1080" s="760"/>
      <c r="T1080" s="760"/>
      <c r="U1080" s="760"/>
      <c r="V1080" s="760"/>
      <c r="W1080" s="760"/>
      <c r="X1080" s="760"/>
      <c r="Y1080" s="760"/>
      <c r="Z1080" s="760"/>
      <c r="AA1080" s="760"/>
      <c r="AB1080" s="760"/>
      <c r="AC1080" s="760"/>
      <c r="AD1080" s="760"/>
      <c r="AE1080" s="760"/>
      <c r="AF1080" s="760"/>
      <c r="AG1080" s="760"/>
      <c r="AH1080" s="760"/>
      <c r="AI1080" s="760"/>
      <c r="AJ1080" s="760"/>
      <c r="AK1080" s="760"/>
      <c r="AL1080" s="760"/>
      <c r="AM1080" s="290"/>
    </row>
    <row r="1081" spans="1:39" s="231" customFormat="1" ht="36.950000000000003" customHeight="1">
      <c r="A1081" s="1"/>
      <c r="B1081" s="1"/>
      <c r="C1081" s="2"/>
      <c r="D1081" s="1"/>
      <c r="E1081" s="265"/>
      <c r="F1081" s="760"/>
      <c r="G1081" s="760"/>
      <c r="H1081" s="760"/>
      <c r="I1081" s="760"/>
      <c r="J1081" s="760"/>
      <c r="K1081" s="760"/>
      <c r="L1081" s="760"/>
      <c r="M1081" s="760"/>
      <c r="N1081" s="760"/>
      <c r="O1081" s="760"/>
      <c r="P1081" s="760"/>
      <c r="Q1081" s="760"/>
      <c r="R1081" s="760"/>
      <c r="S1081" s="760"/>
      <c r="T1081" s="760"/>
      <c r="U1081" s="760"/>
      <c r="V1081" s="760"/>
      <c r="W1081" s="760"/>
      <c r="X1081" s="760"/>
      <c r="Y1081" s="760"/>
      <c r="Z1081" s="760"/>
      <c r="AA1081" s="760"/>
      <c r="AB1081" s="760"/>
      <c r="AC1081" s="760"/>
      <c r="AD1081" s="760"/>
      <c r="AE1081" s="760"/>
      <c r="AF1081" s="760"/>
      <c r="AG1081" s="760"/>
      <c r="AH1081" s="760"/>
      <c r="AI1081" s="760"/>
      <c r="AJ1081" s="760"/>
      <c r="AK1081" s="760"/>
      <c r="AL1081" s="760"/>
      <c r="AM1081" s="290"/>
    </row>
    <row r="1082" spans="1:39" s="231" customFormat="1">
      <c r="A1082" s="1"/>
      <c r="B1082" s="1"/>
      <c r="C1082" s="2"/>
      <c r="D1082" s="1"/>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358" t="s">
        <v>24</v>
      </c>
      <c r="AK1082" s="612">
        <f>AK1010+1</f>
        <v>17</v>
      </c>
      <c r="AL1082" s="612"/>
      <c r="AM1082" s="358" t="s">
        <v>24</v>
      </c>
    </row>
    <row r="1083" spans="1:39" s="361" customFormat="1">
      <c r="A1083" s="1"/>
      <c r="B1083" s="1"/>
      <c r="C1083" s="2"/>
      <c r="D1083" s="1"/>
      <c r="E1083" s="265"/>
      <c r="F1083" s="265"/>
      <c r="G1083" s="265"/>
      <c r="H1083" s="265"/>
      <c r="I1083" s="265"/>
      <c r="J1083" s="265"/>
      <c r="K1083" s="265"/>
      <c r="L1083" s="265"/>
      <c r="M1083" s="265"/>
      <c r="N1083" s="265"/>
      <c r="O1083" s="265"/>
      <c r="P1083" s="265"/>
      <c r="Q1083" s="265"/>
      <c r="R1083" s="265"/>
      <c r="S1083" s="265"/>
      <c r="T1083" s="265"/>
      <c r="U1083" s="265"/>
      <c r="V1083" s="265"/>
      <c r="W1083" s="265"/>
      <c r="X1083" s="265"/>
      <c r="Y1083" s="265"/>
      <c r="Z1083" s="265"/>
      <c r="AA1083" s="265"/>
      <c r="AB1083" s="265"/>
      <c r="AC1083" s="265"/>
      <c r="AD1083" s="265"/>
      <c r="AE1083" s="265"/>
      <c r="AF1083" s="265"/>
      <c r="AG1083" s="265"/>
      <c r="AH1083" s="265"/>
      <c r="AI1083" s="265"/>
      <c r="AJ1083" s="265"/>
      <c r="AK1083" s="265"/>
      <c r="AL1083" s="265"/>
      <c r="AM1083" s="265"/>
    </row>
    <row r="1084" spans="1:39" s="361" customFormat="1">
      <c r="A1084" s="1"/>
      <c r="B1084" s="1"/>
      <c r="C1084" s="2"/>
      <c r="D1084" s="1"/>
      <c r="E1084" s="265"/>
      <c r="F1084" s="265"/>
      <c r="G1084" s="265"/>
      <c r="H1084" s="265"/>
      <c r="I1084" s="265"/>
      <c r="J1084" s="265"/>
      <c r="K1084" s="265"/>
      <c r="L1084" s="265"/>
      <c r="M1084" s="265"/>
      <c r="N1084" s="265"/>
      <c r="O1084" s="265"/>
      <c r="P1084" s="265"/>
      <c r="Q1084" s="265"/>
      <c r="R1084" s="265"/>
      <c r="S1084" s="265"/>
      <c r="T1084" s="265"/>
      <c r="U1084" s="265"/>
      <c r="V1084" s="265"/>
      <c r="W1084" s="265"/>
      <c r="X1084" s="265"/>
      <c r="Y1084" s="265"/>
      <c r="Z1084" s="265"/>
      <c r="AA1084" s="265"/>
      <c r="AB1084" s="265"/>
      <c r="AC1084" s="265"/>
      <c r="AD1084" s="265"/>
      <c r="AE1084" s="265"/>
      <c r="AF1084" s="265"/>
      <c r="AG1084" s="265"/>
      <c r="AH1084" s="265"/>
      <c r="AI1084" s="265"/>
      <c r="AJ1084" s="265"/>
      <c r="AK1084" s="265"/>
      <c r="AL1084" s="265"/>
      <c r="AM1084" s="265"/>
    </row>
    <row r="1085" spans="1:39" s="361" customFormat="1">
      <c r="A1085" s="1"/>
      <c r="B1085" s="1"/>
      <c r="C1085" s="2"/>
      <c r="D1085" s="1"/>
      <c r="E1085" s="265" t="str">
        <f>UPPER($Y$28)</f>
        <v>ПТ ЛОМБАРД "МЕРКУРІЙ"</v>
      </c>
      <c r="F1085" s="265"/>
      <c r="G1085" s="265"/>
      <c r="H1085" s="265"/>
      <c r="I1085" s="265"/>
      <c r="J1085" s="265"/>
      <c r="K1085" s="265"/>
      <c r="L1085" s="265"/>
      <c r="M1085" s="265"/>
      <c r="N1085" s="265"/>
      <c r="O1085" s="265"/>
      <c r="P1085" s="265"/>
      <c r="Q1085" s="265"/>
      <c r="R1085" s="265"/>
      <c r="S1085" s="265"/>
      <c r="T1085" s="265"/>
      <c r="U1085" s="265"/>
      <c r="V1085" s="265"/>
      <c r="W1085" s="265"/>
      <c r="X1085" s="265"/>
      <c r="Y1085" s="265"/>
      <c r="Z1085" s="265"/>
      <c r="AA1085" s="265"/>
      <c r="AB1085" s="265"/>
      <c r="AC1085" s="265"/>
      <c r="AD1085" s="265"/>
      <c r="AE1085" s="265"/>
      <c r="AF1085" s="265"/>
      <c r="AG1085" s="265"/>
      <c r="AH1085" s="265"/>
      <c r="AI1085" s="265"/>
      <c r="AJ1085" s="265"/>
      <c r="AK1085" s="265"/>
      <c r="AL1085" s="265"/>
      <c r="AM1085" s="265"/>
    </row>
    <row r="1086" spans="1:39" s="361" customFormat="1">
      <c r="A1086" s="1"/>
      <c r="B1086" s="1"/>
      <c r="C1086" s="2"/>
      <c r="D1086" s="1"/>
      <c r="E1086" s="269" t="s">
        <v>143</v>
      </c>
      <c r="F1086" s="269"/>
      <c r="G1086" s="269"/>
      <c r="H1086" s="269"/>
      <c r="I1086" s="269"/>
      <c r="J1086" s="269"/>
      <c r="K1086" s="269"/>
      <c r="L1086" s="269"/>
      <c r="M1086" s="269"/>
      <c r="N1086" s="269"/>
      <c r="O1086" s="269"/>
      <c r="P1086" s="269"/>
      <c r="Q1086" s="269"/>
      <c r="R1086" s="269"/>
      <c r="S1086" s="269"/>
      <c r="T1086" s="269"/>
      <c r="U1086" s="269"/>
      <c r="V1086" s="269"/>
      <c r="W1086" s="269"/>
      <c r="X1086" s="269"/>
      <c r="Y1086" s="269"/>
      <c r="Z1086" s="269"/>
      <c r="AA1086" s="269"/>
      <c r="AB1086" s="269"/>
      <c r="AC1086" s="269"/>
      <c r="AD1086" s="269"/>
      <c r="AE1086" s="269"/>
      <c r="AF1086" s="269"/>
      <c r="AG1086" s="269"/>
      <c r="AH1086" s="269"/>
      <c r="AI1086" s="269"/>
      <c r="AJ1086" s="269"/>
      <c r="AK1086" s="269"/>
      <c r="AL1086" s="269"/>
      <c r="AM1086" s="269"/>
    </row>
    <row r="1087" spans="1:39" s="361" customFormat="1">
      <c r="A1087" s="1"/>
      <c r="B1087" s="1"/>
      <c r="C1087" s="2"/>
      <c r="D1087" s="1"/>
      <c r="E1087" s="269" t="str">
        <f>$E$274</f>
        <v>ЗА РІК, ЩО ЗАКІНЧИВСЯ 31 ГРУДНЯ 2020 РОКУ</v>
      </c>
      <c r="F1087" s="269"/>
      <c r="G1087" s="269"/>
      <c r="H1087" s="269"/>
      <c r="I1087" s="269"/>
      <c r="J1087" s="269"/>
      <c r="K1087" s="269"/>
      <c r="L1087" s="269"/>
      <c r="M1087" s="269"/>
      <c r="N1087" s="269"/>
      <c r="O1087" s="269"/>
      <c r="P1087" s="269"/>
      <c r="Q1087" s="269"/>
      <c r="R1087" s="269"/>
      <c r="S1087" s="269"/>
      <c r="T1087" s="269"/>
      <c r="U1087" s="269"/>
      <c r="V1087" s="269"/>
      <c r="W1087" s="269"/>
      <c r="X1087" s="269"/>
      <c r="Y1087" s="269"/>
      <c r="Z1087" s="269"/>
      <c r="AA1087" s="269"/>
      <c r="AB1087" s="269"/>
      <c r="AC1087" s="269"/>
      <c r="AD1087" s="269"/>
      <c r="AE1087" s="269"/>
      <c r="AF1087" s="269"/>
      <c r="AG1087" s="269"/>
      <c r="AH1087" s="269"/>
      <c r="AI1087" s="269"/>
      <c r="AJ1087" s="269"/>
      <c r="AK1087" s="269"/>
      <c r="AL1087" s="269"/>
      <c r="AM1087" s="269"/>
    </row>
    <row r="1088" spans="1:39" s="361" customFormat="1">
      <c r="A1088" s="1"/>
      <c r="B1088" s="1"/>
      <c r="C1088" s="2"/>
      <c r="D1088" s="1"/>
      <c r="E1088" s="244" t="str">
        <f>$E$209</f>
        <v>(в тисячах гривень, якщо не вказано інше)</v>
      </c>
      <c r="F1088" s="244"/>
      <c r="G1088" s="244"/>
      <c r="H1088" s="244"/>
      <c r="I1088" s="244"/>
      <c r="J1088" s="244"/>
      <c r="K1088" s="244"/>
      <c r="L1088" s="244"/>
      <c r="M1088" s="244"/>
      <c r="N1088" s="244"/>
      <c r="O1088" s="244"/>
      <c r="P1088" s="244"/>
      <c r="Q1088" s="244"/>
      <c r="R1088" s="244"/>
      <c r="S1088" s="244"/>
      <c r="T1088" s="244"/>
      <c r="U1088" s="244"/>
      <c r="V1088" s="244"/>
      <c r="W1088" s="244"/>
      <c r="X1088" s="244"/>
      <c r="Y1088" s="244"/>
      <c r="Z1088" s="244"/>
      <c r="AA1088" s="244"/>
      <c r="AB1088" s="244"/>
      <c r="AC1088" s="244"/>
      <c r="AD1088" s="244"/>
      <c r="AE1088" s="244"/>
      <c r="AF1088" s="244"/>
      <c r="AG1088" s="244"/>
      <c r="AH1088" s="244"/>
      <c r="AI1088" s="244"/>
      <c r="AJ1088" s="244"/>
      <c r="AK1088" s="244"/>
      <c r="AL1088" s="244"/>
      <c r="AM1088" s="244"/>
    </row>
    <row r="1089" spans="1:49" s="231" customFormat="1">
      <c r="A1089" s="1"/>
      <c r="B1089" s="1"/>
      <c r="C1089" s="2"/>
      <c r="D1089" s="1"/>
      <c r="E1089" s="265"/>
      <c r="F1089" s="762"/>
      <c r="G1089" s="762"/>
      <c r="H1089" s="762"/>
      <c r="I1089" s="762"/>
      <c r="J1089" s="762"/>
      <c r="K1089" s="762"/>
      <c r="L1089" s="762"/>
      <c r="M1089" s="762"/>
      <c r="N1089" s="762"/>
      <c r="O1089" s="762"/>
      <c r="P1089" s="762"/>
      <c r="Q1089" s="762"/>
      <c r="R1089" s="762"/>
      <c r="S1089" s="762"/>
      <c r="T1089" s="762"/>
      <c r="U1089" s="762"/>
      <c r="V1089" s="762"/>
      <c r="W1089" s="762"/>
      <c r="X1089" s="762"/>
      <c r="Y1089" s="762"/>
      <c r="Z1089" s="762"/>
      <c r="AA1089" s="762"/>
      <c r="AB1089" s="762"/>
      <c r="AC1089" s="762"/>
      <c r="AD1089" s="762"/>
      <c r="AE1089" s="762"/>
      <c r="AF1089" s="762"/>
      <c r="AG1089" s="762"/>
      <c r="AH1089" s="762"/>
      <c r="AI1089" s="762"/>
      <c r="AJ1089" s="762"/>
      <c r="AK1089" s="762"/>
      <c r="AL1089" s="762"/>
      <c r="AM1089" s="291"/>
    </row>
    <row r="1090" spans="1:49" s="231" customFormat="1" ht="1.5" customHeight="1">
      <c r="A1090" s="1"/>
      <c r="B1090" s="1"/>
      <c r="C1090" s="2"/>
      <c r="D1090" s="1"/>
      <c r="E1090" s="265"/>
      <c r="F1090" s="762"/>
      <c r="G1090" s="762"/>
      <c r="H1090" s="762"/>
      <c r="I1090" s="762"/>
      <c r="J1090" s="762"/>
      <c r="K1090" s="762"/>
      <c r="L1090" s="762"/>
      <c r="M1090" s="762"/>
      <c r="N1090" s="762"/>
      <c r="O1090" s="762"/>
      <c r="P1090" s="762"/>
      <c r="Q1090" s="762"/>
      <c r="R1090" s="762"/>
      <c r="S1090" s="762"/>
      <c r="T1090" s="762"/>
      <c r="U1090" s="762"/>
      <c r="V1090" s="762"/>
      <c r="W1090" s="762"/>
      <c r="X1090" s="762"/>
      <c r="Y1090" s="762"/>
      <c r="Z1090" s="762"/>
      <c r="AA1090" s="762"/>
      <c r="AB1090" s="762"/>
      <c r="AC1090" s="762"/>
      <c r="AD1090" s="762"/>
      <c r="AE1090" s="762"/>
      <c r="AF1090" s="762"/>
      <c r="AG1090" s="762"/>
      <c r="AH1090" s="762"/>
      <c r="AI1090" s="762"/>
      <c r="AJ1090" s="762"/>
      <c r="AK1090" s="762"/>
      <c r="AL1090" s="762"/>
      <c r="AM1090" s="291"/>
    </row>
    <row r="1091" spans="1:49" s="231" customFormat="1" ht="1.5" customHeight="1">
      <c r="A1091" s="1"/>
      <c r="B1091" s="1"/>
      <c r="C1091" s="2"/>
      <c r="D1091" s="1"/>
      <c r="E1091" s="265"/>
      <c r="F1091" s="762"/>
      <c r="G1091" s="762"/>
      <c r="H1091" s="762"/>
      <c r="I1091" s="762"/>
      <c r="J1091" s="762"/>
      <c r="K1091" s="762"/>
      <c r="L1091" s="762"/>
      <c r="M1091" s="762"/>
      <c r="N1091" s="762"/>
      <c r="O1091" s="762"/>
      <c r="P1091" s="762"/>
      <c r="Q1091" s="762"/>
      <c r="R1091" s="762"/>
      <c r="S1091" s="762"/>
      <c r="T1091" s="762"/>
      <c r="U1091" s="762"/>
      <c r="V1091" s="762"/>
      <c r="W1091" s="762"/>
      <c r="X1091" s="762"/>
      <c r="Y1091" s="762"/>
      <c r="Z1091" s="762"/>
      <c r="AA1091" s="762"/>
      <c r="AB1091" s="762"/>
      <c r="AC1091" s="762"/>
      <c r="AD1091" s="762"/>
      <c r="AE1091" s="762"/>
      <c r="AF1091" s="762"/>
      <c r="AG1091" s="762"/>
      <c r="AH1091" s="762"/>
      <c r="AI1091" s="762"/>
      <c r="AJ1091" s="762"/>
      <c r="AK1091" s="762"/>
      <c r="AL1091" s="762"/>
      <c r="AM1091" s="291"/>
    </row>
    <row r="1092" spans="1:49" s="231" customFormat="1" ht="1.5" customHeight="1">
      <c r="A1092" s="1"/>
      <c r="B1092" s="1"/>
      <c r="C1092" s="2"/>
      <c r="D1092" s="1"/>
      <c r="E1092" s="265"/>
      <c r="F1092" s="762"/>
      <c r="G1092" s="762"/>
      <c r="H1092" s="762"/>
      <c r="I1092" s="762"/>
      <c r="J1092" s="762"/>
      <c r="K1092" s="762"/>
      <c r="L1092" s="762"/>
      <c r="M1092" s="762"/>
      <c r="N1092" s="762"/>
      <c r="O1092" s="762"/>
      <c r="P1092" s="762"/>
      <c r="Q1092" s="762"/>
      <c r="R1092" s="762"/>
      <c r="S1092" s="762"/>
      <c r="T1092" s="762"/>
      <c r="U1092" s="762"/>
      <c r="V1092" s="762"/>
      <c r="W1092" s="762"/>
      <c r="X1092" s="762"/>
      <c r="Y1092" s="762"/>
      <c r="Z1092" s="762"/>
      <c r="AA1092" s="762"/>
      <c r="AB1092" s="762"/>
      <c r="AC1092" s="762"/>
      <c r="AD1092" s="762"/>
      <c r="AE1092" s="762"/>
      <c r="AF1092" s="762"/>
      <c r="AG1092" s="762"/>
      <c r="AH1092" s="762"/>
      <c r="AI1092" s="762"/>
      <c r="AJ1092" s="762"/>
      <c r="AK1092" s="762"/>
      <c r="AL1092" s="762"/>
      <c r="AM1092" s="265"/>
    </row>
    <row r="1093" spans="1:49" s="231" customFormat="1" ht="14.1" customHeight="1">
      <c r="A1093" s="1"/>
      <c r="B1093" s="1"/>
      <c r="C1093" s="2"/>
      <c r="D1093" s="1"/>
      <c r="E1093" s="265"/>
      <c r="F1093" s="760" t="s">
        <v>1420</v>
      </c>
      <c r="G1093" s="760"/>
      <c r="H1093" s="760"/>
      <c r="I1093" s="760"/>
      <c r="J1093" s="760"/>
      <c r="K1093" s="760"/>
      <c r="L1093" s="760"/>
      <c r="M1093" s="760"/>
      <c r="N1093" s="760"/>
      <c r="O1093" s="760"/>
      <c r="P1093" s="760"/>
      <c r="Q1093" s="760"/>
      <c r="R1093" s="760"/>
      <c r="S1093" s="760"/>
      <c r="T1093" s="760"/>
      <c r="U1093" s="760"/>
      <c r="V1093" s="760"/>
      <c r="W1093" s="760"/>
      <c r="X1093" s="760"/>
      <c r="Y1093" s="760"/>
      <c r="Z1093" s="760"/>
      <c r="AA1093" s="760"/>
      <c r="AB1093" s="760"/>
      <c r="AC1093" s="760"/>
      <c r="AD1093" s="760"/>
      <c r="AE1093" s="760"/>
      <c r="AF1093" s="760"/>
      <c r="AG1093" s="760"/>
      <c r="AH1093" s="760"/>
      <c r="AI1093" s="760"/>
      <c r="AJ1093" s="760"/>
      <c r="AK1093" s="760"/>
      <c r="AL1093" s="760"/>
      <c r="AM1093" s="287"/>
    </row>
    <row r="1094" spans="1:49" s="231" customFormat="1">
      <c r="A1094" s="1"/>
      <c r="B1094" s="1"/>
      <c r="C1094" s="2"/>
      <c r="D1094" s="1"/>
      <c r="E1094" s="265"/>
      <c r="F1094" s="760"/>
      <c r="G1094" s="760"/>
      <c r="H1094" s="760"/>
      <c r="I1094" s="760"/>
      <c r="J1094" s="760"/>
      <c r="K1094" s="760"/>
      <c r="L1094" s="760"/>
      <c r="M1094" s="760"/>
      <c r="N1094" s="760"/>
      <c r="O1094" s="760"/>
      <c r="P1094" s="760"/>
      <c r="Q1094" s="760"/>
      <c r="R1094" s="760"/>
      <c r="S1094" s="760"/>
      <c r="T1094" s="760"/>
      <c r="U1094" s="760"/>
      <c r="V1094" s="760"/>
      <c r="W1094" s="760"/>
      <c r="X1094" s="760"/>
      <c r="Y1094" s="760"/>
      <c r="Z1094" s="760"/>
      <c r="AA1094" s="760"/>
      <c r="AB1094" s="760"/>
      <c r="AC1094" s="760"/>
      <c r="AD1094" s="760"/>
      <c r="AE1094" s="760"/>
      <c r="AF1094" s="760"/>
      <c r="AG1094" s="760"/>
      <c r="AH1094" s="760"/>
      <c r="AI1094" s="760"/>
      <c r="AJ1094" s="760"/>
      <c r="AK1094" s="760"/>
      <c r="AL1094" s="760"/>
      <c r="AM1094" s="287"/>
    </row>
    <row r="1095" spans="1:49" s="231" customFormat="1">
      <c r="A1095" s="1"/>
      <c r="B1095" s="1"/>
      <c r="C1095" s="2"/>
      <c r="D1095" s="1"/>
      <c r="E1095" s="265"/>
      <c r="F1095" s="760"/>
      <c r="G1095" s="760"/>
      <c r="H1095" s="760"/>
      <c r="I1095" s="760"/>
      <c r="J1095" s="760"/>
      <c r="K1095" s="760"/>
      <c r="L1095" s="760"/>
      <c r="M1095" s="760"/>
      <c r="N1095" s="760"/>
      <c r="O1095" s="760"/>
      <c r="P1095" s="760"/>
      <c r="Q1095" s="760"/>
      <c r="R1095" s="760"/>
      <c r="S1095" s="760"/>
      <c r="T1095" s="760"/>
      <c r="U1095" s="760"/>
      <c r="V1095" s="760"/>
      <c r="W1095" s="760"/>
      <c r="X1095" s="760"/>
      <c r="Y1095" s="760"/>
      <c r="Z1095" s="760"/>
      <c r="AA1095" s="760"/>
      <c r="AB1095" s="760"/>
      <c r="AC1095" s="760"/>
      <c r="AD1095" s="760"/>
      <c r="AE1095" s="760"/>
      <c r="AF1095" s="760"/>
      <c r="AG1095" s="760"/>
      <c r="AH1095" s="760"/>
      <c r="AI1095" s="760"/>
      <c r="AJ1095" s="760"/>
      <c r="AK1095" s="760"/>
      <c r="AL1095" s="760"/>
      <c r="AM1095" s="265"/>
    </row>
    <row r="1096" spans="1:49" s="231" customFormat="1">
      <c r="A1096" s="1"/>
      <c r="B1096" s="1"/>
      <c r="C1096" s="2"/>
      <c r="D1096" s="1"/>
      <c r="E1096" s="265"/>
      <c r="F1096" s="265"/>
      <c r="G1096" s="265"/>
      <c r="H1096" s="265"/>
      <c r="I1096" s="265"/>
      <c r="J1096" s="265"/>
      <c r="K1096" s="265"/>
      <c r="L1096" s="265"/>
      <c r="M1096" s="265"/>
      <c r="N1096" s="265"/>
      <c r="O1096" s="265"/>
      <c r="P1096" s="265"/>
      <c r="Q1096" s="265"/>
      <c r="R1096" s="265"/>
      <c r="S1096" s="265"/>
      <c r="T1096" s="265"/>
      <c r="U1096" s="265"/>
      <c r="V1096" s="265"/>
      <c r="W1096" s="265"/>
      <c r="X1096" s="265"/>
      <c r="Y1096" s="265"/>
      <c r="Z1096" s="265"/>
      <c r="AA1096" s="265"/>
      <c r="AB1096" s="265"/>
      <c r="AC1096" s="265"/>
      <c r="AD1096" s="265"/>
      <c r="AE1096" s="265"/>
      <c r="AF1096" s="265"/>
      <c r="AG1096" s="265"/>
      <c r="AH1096" s="265"/>
      <c r="AI1096" s="265"/>
      <c r="AJ1096" s="265"/>
      <c r="AK1096" s="265"/>
      <c r="AL1096" s="265"/>
      <c r="AM1096" s="265"/>
    </row>
    <row r="1097" spans="1:49" s="231" customFormat="1">
      <c r="A1097" s="1"/>
      <c r="B1097" s="1"/>
      <c r="C1097" s="2"/>
      <c r="D1097" s="1"/>
      <c r="F1097" s="669">
        <v>5</v>
      </c>
      <c r="G1097" s="669"/>
      <c r="H1097" s="268" t="s">
        <v>261</v>
      </c>
      <c r="I1097" s="268"/>
      <c r="J1097" s="268"/>
      <c r="K1097" s="268"/>
      <c r="L1097" s="268"/>
      <c r="M1097" s="268"/>
      <c r="N1097" s="268"/>
      <c r="O1097" s="268"/>
      <c r="P1097" s="268"/>
      <c r="Q1097" s="268"/>
      <c r="R1097" s="268"/>
      <c r="S1097" s="268"/>
      <c r="T1097" s="268"/>
      <c r="U1097" s="268"/>
      <c r="V1097" s="268"/>
      <c r="W1097" s="268"/>
      <c r="X1097" s="268"/>
      <c r="Y1097" s="268"/>
      <c r="Z1097" s="268"/>
      <c r="AA1097" s="268"/>
      <c r="AB1097" s="268"/>
      <c r="AC1097" s="268"/>
      <c r="AD1097" s="268"/>
      <c r="AE1097" s="268"/>
      <c r="AF1097" s="268"/>
      <c r="AG1097" s="268"/>
      <c r="AH1097" s="268"/>
      <c r="AI1097" s="268"/>
      <c r="AJ1097" s="268"/>
      <c r="AK1097" s="268"/>
      <c r="AL1097" s="268"/>
      <c r="AM1097" s="268"/>
    </row>
    <row r="1098" spans="1:49" s="231" customFormat="1">
      <c r="A1098" s="1"/>
      <c r="B1098" s="1"/>
      <c r="C1098" s="2"/>
      <c r="D1098" s="1"/>
    </row>
    <row r="1099" spans="1:49" s="231" customFormat="1" ht="17.100000000000001" customHeight="1">
      <c r="A1099" s="1"/>
      <c r="B1099" s="44"/>
      <c r="C1099" s="45"/>
      <c r="D1099" s="44"/>
      <c r="F1099" s="569" t="s">
        <v>1643</v>
      </c>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69"/>
      <c r="AL1099" s="249"/>
      <c r="AM1099" s="249"/>
    </row>
    <row r="1100" spans="1:49" s="231" customFormat="1">
      <c r="A1100" s="1"/>
      <c r="B1100" s="44"/>
      <c r="C1100" s="45"/>
      <c r="D1100" s="44"/>
      <c r="AM1100" s="121"/>
    </row>
    <row r="1101" spans="1:49" hidden="1">
      <c r="F1101" s="568"/>
      <c r="G1101" s="568"/>
      <c r="H1101" s="568"/>
      <c r="I1101" s="568"/>
      <c r="J1101" s="568"/>
      <c r="K1101" s="568"/>
      <c r="L1101" s="568"/>
      <c r="M1101" s="568"/>
      <c r="N1101" s="568"/>
      <c r="O1101" s="568"/>
      <c r="P1101" s="568"/>
      <c r="Q1101" s="568"/>
      <c r="R1101" s="568"/>
      <c r="S1101" s="568"/>
      <c r="T1101" s="568"/>
      <c r="U1101" s="568"/>
      <c r="V1101" s="568"/>
      <c r="W1101" s="568"/>
      <c r="X1101" s="568"/>
      <c r="AG1101" s="597">
        <v>2012</v>
      </c>
      <c r="AH1101" s="597"/>
      <c r="AI1101" s="597"/>
      <c r="AJ1101" s="597"/>
      <c r="AK1101" s="597"/>
      <c r="AM1101" s="228"/>
    </row>
    <row r="1102" spans="1:49" ht="14.25" hidden="1" customHeight="1">
      <c r="F1102" s="590" t="s">
        <v>262</v>
      </c>
      <c r="G1102" s="609"/>
      <c r="H1102" s="609"/>
      <c r="I1102" s="609"/>
      <c r="J1102" s="609"/>
      <c r="K1102" s="609"/>
      <c r="L1102" s="609"/>
      <c r="M1102" s="609"/>
      <c r="N1102" s="609"/>
      <c r="O1102" s="609"/>
      <c r="P1102" s="609"/>
      <c r="Q1102" s="609"/>
      <c r="R1102" s="609"/>
      <c r="S1102" s="609"/>
      <c r="T1102" s="609"/>
      <c r="U1102" s="609"/>
      <c r="V1102" s="609"/>
      <c r="W1102" s="609"/>
      <c r="X1102" s="609"/>
      <c r="AG1102" s="60"/>
      <c r="AH1102" s="60"/>
      <c r="AI1102" s="60"/>
      <c r="AJ1102" s="60"/>
      <c r="AK1102" s="60"/>
      <c r="AM1102" s="60"/>
    </row>
    <row r="1103" spans="1:49" hidden="1">
      <c r="C1103" s="48"/>
      <c r="F1103" s="668" t="s">
        <v>263</v>
      </c>
      <c r="G1103" s="668"/>
      <c r="H1103" s="668"/>
      <c r="I1103" s="668"/>
      <c r="J1103" s="668"/>
      <c r="K1103" s="668"/>
      <c r="L1103" s="668"/>
      <c r="M1103" s="668"/>
      <c r="N1103" s="668"/>
      <c r="O1103" s="668"/>
      <c r="P1103" s="668"/>
      <c r="Q1103" s="668"/>
      <c r="R1103" s="668"/>
      <c r="S1103" s="668"/>
      <c r="T1103" s="668"/>
      <c r="U1103" s="668"/>
      <c r="V1103" s="668"/>
      <c r="W1103" s="668"/>
      <c r="X1103" s="668"/>
      <c r="AG1103" s="566" t="e">
        <f>-(SUMIFS(#REF!,#REF!,'FS USD (ua)'!AQ1103)+SUMIFS(#REF!,#REF!,'FS USD (ua)'!AR1103)+SUMIFS(#REF!,#REF!,'FS USD (ua)'!AS1103)+SUMIFS(#REF!,#REF!,'FS USD (ua)'!AT1103)+SUMIFS(#REF!,#REF!,'FS USD (ua)'!AU1103)+SUMIFS(#REF!,#REF!,'FS USD (ua)'!AV1103)+SUMIFS(#REF!,#REF!,'FS USD (ua)'!AW1103)+SUMIFS(#REF!,#REF!,'FS USD (ua)'!AX1103)+SUMIFS(#REF!,#REF!,'FS USD (ua)'!AY1103)+SUMIFS(#REF!,#REF!,'FS USD (ua)'!AZ1103)+SUMIFS(#REF!,#REF!,'FS USD (ua)'!BA1103)+SUMIFS(#REF!,#REF!,'FS USD (ua)'!BB1103)+SUMIFS(#REF!,#REF!,'FS USD (ua)'!BC1103))/1000</f>
        <v>#REF!</v>
      </c>
      <c r="AH1103" s="566"/>
      <c r="AI1103" s="566"/>
      <c r="AJ1103" s="566"/>
      <c r="AK1103" s="566"/>
      <c r="AM1103" s="237"/>
      <c r="AN1103" s="19" t="e">
        <f>ROUND(AG1103,0)</f>
        <v>#REF!</v>
      </c>
      <c r="AO1103" s="19"/>
      <c r="AP1103" s="61"/>
      <c r="AW1103" s="3" t="s">
        <v>264</v>
      </c>
    </row>
    <row r="1104" spans="1:49" hidden="1">
      <c r="C1104" s="48"/>
      <c r="E1104" s="20"/>
      <c r="F1104" s="673" t="s">
        <v>265</v>
      </c>
      <c r="G1104" s="673"/>
      <c r="H1104" s="673"/>
      <c r="I1104" s="673"/>
      <c r="J1104" s="673"/>
      <c r="K1104" s="673"/>
      <c r="L1104" s="673"/>
      <c r="M1104" s="673"/>
      <c r="N1104" s="673"/>
      <c r="O1104" s="673"/>
      <c r="P1104" s="673"/>
      <c r="Q1104" s="673"/>
      <c r="R1104" s="673"/>
      <c r="S1104" s="673"/>
      <c r="T1104" s="673"/>
      <c r="U1104" s="673"/>
      <c r="V1104" s="673"/>
      <c r="W1104" s="673"/>
      <c r="X1104" s="673"/>
      <c r="Y1104" s="20"/>
      <c r="Z1104" s="20"/>
      <c r="AA1104" s="20"/>
      <c r="AB1104" s="20"/>
      <c r="AC1104" s="20"/>
      <c r="AD1104" s="20"/>
      <c r="AE1104" s="20"/>
      <c r="AF1104" s="20"/>
      <c r="AG1104" s="566" t="e">
        <f>-(SUMIFS(#REF!,#REF!,'FS USD (ua)'!AQ1104)+SUMIFS(#REF!,#REF!,'FS USD (ua)'!AR1104)+SUMIFS(#REF!,#REF!,'FS USD (ua)'!AS1104)+SUMIFS(#REF!,#REF!,'FS USD (ua)'!AT1104)+SUMIFS(#REF!,#REF!,'FS USD (ua)'!AU1104)+SUMIFS(#REF!,#REF!,'FS USD (ua)'!AV1104)+SUMIFS(#REF!,#REF!,'FS USD (ua)'!AW1104)+SUMIFS(#REF!,#REF!,'FS USD (ua)'!AX1104)+SUMIFS(#REF!,#REF!,'FS USD (ua)'!AY1104)+SUMIFS(#REF!,#REF!,'FS USD (ua)'!AZ1104)+SUMIFS(#REF!,#REF!,'FS USD (ua)'!BA1104)+SUMIFS(#REF!,#REF!,'FS USD (ua)'!BB1104)+SUMIFS(#REF!,#REF!,'FS USD (ua)'!BC1104))/1000</f>
        <v>#REF!</v>
      </c>
      <c r="AH1104" s="566"/>
      <c r="AI1104" s="566"/>
      <c r="AJ1104" s="566"/>
      <c r="AK1104" s="566"/>
      <c r="AL1104" s="20"/>
      <c r="AM1104" s="237"/>
      <c r="AN1104" s="19"/>
      <c r="AO1104" s="19"/>
      <c r="AW1104" s="3" t="s">
        <v>266</v>
      </c>
    </row>
    <row r="1105" spans="1:51" hidden="1">
      <c r="C1105" s="48"/>
      <c r="E1105" s="20"/>
      <c r="F1105" s="673" t="s">
        <v>267</v>
      </c>
      <c r="G1105" s="673"/>
      <c r="H1105" s="673"/>
      <c r="I1105" s="673"/>
      <c r="J1105" s="673"/>
      <c r="K1105" s="673"/>
      <c r="L1105" s="673"/>
      <c r="M1105" s="673"/>
      <c r="N1105" s="673"/>
      <c r="O1105" s="673"/>
      <c r="P1105" s="673"/>
      <c r="Q1105" s="673"/>
      <c r="R1105" s="673"/>
      <c r="S1105" s="673"/>
      <c r="T1105" s="673"/>
      <c r="U1105" s="673"/>
      <c r="V1105" s="673"/>
      <c r="W1105" s="673"/>
      <c r="X1105" s="673"/>
      <c r="Y1105" s="20"/>
      <c r="Z1105" s="20"/>
      <c r="AA1105" s="20"/>
      <c r="AB1105" s="20"/>
      <c r="AC1105" s="20"/>
      <c r="AD1105" s="20"/>
      <c r="AE1105" s="20"/>
      <c r="AF1105" s="20"/>
      <c r="AG1105" s="566" t="e">
        <f>-(SUMIFS(#REF!,#REF!,'FS USD (ua)'!AQ1105)+SUMIFS(#REF!,#REF!,'FS USD (ua)'!AR1105)+SUMIFS(#REF!,#REF!,'FS USD (ua)'!AS1105)+SUMIFS(#REF!,#REF!,'FS USD (ua)'!AT1105)+SUMIFS(#REF!,#REF!,'FS USD (ua)'!AU1105)+SUMIFS(#REF!,#REF!,'FS USD (ua)'!AV1105)+SUMIFS(#REF!,#REF!,'FS USD (ua)'!AW1105)+SUMIFS(#REF!,#REF!,'FS USD (ua)'!AX1105)+SUMIFS(#REF!,#REF!,'FS USD (ua)'!AY1105)+SUMIFS(#REF!,#REF!,'FS USD (ua)'!AZ1105)+SUMIFS(#REF!,#REF!,'FS USD (ua)'!BA1105)+SUMIFS(#REF!,#REF!,'FS USD (ua)'!BB1105)+SUMIFS(#REF!,#REF!,'FS USD (ua)'!BC1105))/1000</f>
        <v>#REF!</v>
      </c>
      <c r="AH1105" s="566"/>
      <c r="AI1105" s="566"/>
      <c r="AJ1105" s="566"/>
      <c r="AK1105" s="566"/>
      <c r="AL1105" s="20"/>
      <c r="AM1105" s="237"/>
      <c r="AN1105" s="19" t="e">
        <f>ROUND(AG1105,0)</f>
        <v>#REF!</v>
      </c>
      <c r="AO1105" s="19"/>
      <c r="AW1105" s="3" t="s">
        <v>268</v>
      </c>
    </row>
    <row r="1106" spans="1:51" hidden="1">
      <c r="C1106" s="48"/>
      <c r="F1106" s="668" t="s">
        <v>269</v>
      </c>
      <c r="G1106" s="668"/>
      <c r="H1106" s="668"/>
      <c r="I1106" s="668"/>
      <c r="J1106" s="668"/>
      <c r="K1106" s="668"/>
      <c r="L1106" s="668"/>
      <c r="M1106" s="668"/>
      <c r="N1106" s="668"/>
      <c r="O1106" s="668"/>
      <c r="P1106" s="668"/>
      <c r="Q1106" s="668"/>
      <c r="R1106" s="668"/>
      <c r="S1106" s="668"/>
      <c r="T1106" s="668"/>
      <c r="U1106" s="668"/>
      <c r="V1106" s="668"/>
      <c r="W1106" s="668"/>
      <c r="X1106" s="668"/>
      <c r="AG1106" s="566" t="e">
        <f>-(SUMIFS(#REF!,#REF!,'FS USD (ua)'!AQ1106)+SUMIFS(#REF!,#REF!,'FS USD (ua)'!AR1106)+SUMIFS(#REF!,#REF!,'FS USD (ua)'!AS1106)+SUMIFS(#REF!,#REF!,'FS USD (ua)'!AT1106)+SUMIFS(#REF!,#REF!,'FS USD (ua)'!AU1106)+SUMIFS(#REF!,#REF!,'FS USD (ua)'!AV1106)+SUMIFS(#REF!,#REF!,'FS USD (ua)'!AW1106)+SUMIFS(#REF!,#REF!,'FS USD (ua)'!AX1106)+SUMIFS(#REF!,#REF!,'FS USD (ua)'!AY1106)+SUMIFS(#REF!,#REF!,'FS USD (ua)'!AZ1106)+SUMIFS(#REF!,#REF!,'FS USD (ua)'!BA1106)+SUMIFS(#REF!,#REF!,'FS USD (ua)'!BB1106)+SUMIFS(#REF!,#REF!,'FS USD (ua)'!BC1106))/1000</f>
        <v>#REF!</v>
      </c>
      <c r="AH1106" s="566"/>
      <c r="AI1106" s="566"/>
      <c r="AJ1106" s="566"/>
      <c r="AK1106" s="566"/>
      <c r="AM1106" s="237"/>
      <c r="AN1106" s="19" t="e">
        <f>ROUND(AG1106,0)</f>
        <v>#REF!</v>
      </c>
      <c r="AO1106" s="19"/>
      <c r="AW1106" s="3" t="s">
        <v>270</v>
      </c>
    </row>
    <row r="1107" spans="1:51" hidden="1">
      <c r="C1107" s="48"/>
      <c r="F1107" s="668" t="s">
        <v>271</v>
      </c>
      <c r="G1107" s="668"/>
      <c r="H1107" s="668"/>
      <c r="I1107" s="668"/>
      <c r="J1107" s="668"/>
      <c r="K1107" s="668"/>
      <c r="L1107" s="668"/>
      <c r="M1107" s="668"/>
      <c r="N1107" s="668"/>
      <c r="O1107" s="668"/>
      <c r="P1107" s="668"/>
      <c r="Q1107" s="668"/>
      <c r="R1107" s="668"/>
      <c r="S1107" s="668"/>
      <c r="T1107" s="668"/>
      <c r="U1107" s="668"/>
      <c r="V1107" s="668"/>
      <c r="W1107" s="668"/>
      <c r="X1107" s="668"/>
      <c r="AG1107" s="566" t="e">
        <f>-(SUMIFS(#REF!,#REF!,'FS USD (ua)'!AQ1107)+SUMIFS(#REF!,#REF!,'FS USD (ua)'!AR1107)+SUMIFS(#REF!,#REF!,'FS USD (ua)'!AS1107)+SUMIFS(#REF!,#REF!,'FS USD (ua)'!AT1107)+SUMIFS(#REF!,#REF!,'FS USD (ua)'!AU1107)+SUMIFS(#REF!,#REF!,'FS USD (ua)'!AV1107)+SUMIFS(#REF!,#REF!,'FS USD (ua)'!AW1107)+SUMIFS(#REF!,#REF!,'FS USD (ua)'!AX1107)+SUMIFS(#REF!,#REF!,'FS USD (ua)'!AY1107)+SUMIFS(#REF!,#REF!,'FS USD (ua)'!AZ1107)+SUMIFS(#REF!,#REF!,'FS USD (ua)'!BA1107)+SUMIFS(#REF!,#REF!,'FS USD (ua)'!BB1107)+SUMIFS(#REF!,#REF!,'FS USD (ua)'!BC1107))/1000</f>
        <v>#REF!</v>
      </c>
      <c r="AH1107" s="566"/>
      <c r="AI1107" s="566"/>
      <c r="AJ1107" s="566"/>
      <c r="AK1107" s="566"/>
      <c r="AM1107" s="237"/>
      <c r="AN1107" s="19" t="e">
        <f>ROUND(AG1107,0)</f>
        <v>#REF!</v>
      </c>
      <c r="AO1107" s="19"/>
      <c r="AW1107" s="3" t="s">
        <v>272</v>
      </c>
      <c r="AX1107" s="3" t="s">
        <v>273</v>
      </c>
    </row>
    <row r="1108" spans="1:51" s="231" customFormat="1">
      <c r="A1108" s="1"/>
      <c r="B1108" s="44"/>
      <c r="C1108" s="49"/>
      <c r="D1108" s="44"/>
      <c r="F1108" s="569" t="s">
        <v>274</v>
      </c>
      <c r="G1108" s="569"/>
      <c r="H1108" s="569"/>
      <c r="I1108" s="569"/>
      <c r="J1108" s="569"/>
      <c r="K1108" s="569"/>
      <c r="L1108" s="569"/>
      <c r="M1108" s="569"/>
      <c r="N1108" s="569"/>
      <c r="O1108" s="569"/>
      <c r="P1108" s="569"/>
      <c r="Q1108" s="569"/>
      <c r="R1108" s="569"/>
      <c r="S1108" s="569"/>
      <c r="T1108" s="569"/>
      <c r="U1108" s="569"/>
      <c r="V1108" s="569"/>
      <c r="W1108" s="569"/>
      <c r="X1108" s="569"/>
      <c r="Y1108" s="569"/>
      <c r="Z1108" s="569"/>
      <c r="AA1108" s="569"/>
      <c r="AB1108" s="569"/>
      <c r="AC1108" s="569"/>
      <c r="AG1108" s="566">
        <v>8665</v>
      </c>
      <c r="AH1108" s="566"/>
      <c r="AI1108" s="566"/>
      <c r="AJ1108" s="566"/>
      <c r="AK1108" s="566"/>
      <c r="AM1108" s="222"/>
      <c r="AN1108" s="266">
        <f>ROUND(AG1108,0)</f>
        <v>8665</v>
      </c>
      <c r="AO1108" s="266"/>
      <c r="AW1108" s="231" t="s">
        <v>275</v>
      </c>
    </row>
    <row r="1109" spans="1:51" s="231" customFormat="1">
      <c r="A1109" s="1"/>
      <c r="B1109" s="44"/>
      <c r="C1109" s="49"/>
      <c r="D1109" s="44"/>
      <c r="F1109" s="569" t="s">
        <v>276</v>
      </c>
      <c r="G1109" s="569"/>
      <c r="H1109" s="569"/>
      <c r="I1109" s="569"/>
      <c r="J1109" s="569"/>
      <c r="K1109" s="569"/>
      <c r="L1109" s="569"/>
      <c r="M1109" s="569"/>
      <c r="N1109" s="569"/>
      <c r="O1109" s="569"/>
      <c r="P1109" s="569"/>
      <c r="Q1109" s="569"/>
      <c r="R1109" s="569"/>
      <c r="S1109" s="569"/>
      <c r="T1109" s="569"/>
      <c r="U1109" s="569"/>
      <c r="V1109" s="569"/>
      <c r="W1109" s="569"/>
      <c r="X1109" s="569"/>
      <c r="Y1109" s="569"/>
      <c r="Z1109" s="569"/>
      <c r="AA1109" s="569"/>
      <c r="AB1109" s="569"/>
      <c r="AC1109" s="249"/>
      <c r="AG1109" s="566">
        <v>77</v>
      </c>
      <c r="AH1109" s="566"/>
      <c r="AI1109" s="566"/>
      <c r="AJ1109" s="566"/>
      <c r="AK1109" s="566"/>
      <c r="AM1109" s="222"/>
      <c r="AN1109" s="266">
        <f>ROUND(AG1109,0)</f>
        <v>77</v>
      </c>
      <c r="AO1109" s="266"/>
      <c r="AW1109" s="231" t="s">
        <v>277</v>
      </c>
    </row>
    <row r="1110" spans="1:51" s="231" customFormat="1" ht="13.5" thickBot="1">
      <c r="A1110" s="62"/>
      <c r="B1110" s="63"/>
      <c r="C1110" s="63"/>
      <c r="D1110" s="44"/>
      <c r="J1110" s="221"/>
      <c r="AG1110" s="623">
        <f>-'ОСВ в работу'!X75/1000-1</f>
        <v>8741.569019999999</v>
      </c>
      <c r="AH1110" s="623"/>
      <c r="AI1110" s="623"/>
      <c r="AJ1110" s="623"/>
      <c r="AK1110" s="623"/>
      <c r="AM1110" s="240"/>
    </row>
    <row r="1111" spans="1:51" s="231" customFormat="1" ht="13.5" thickTop="1">
      <c r="A1111" s="62"/>
      <c r="B1111" s="62"/>
      <c r="C1111" s="62"/>
      <c r="D1111" s="1"/>
      <c r="J1111" s="221"/>
      <c r="AG1111" s="241"/>
      <c r="AH1111" s="241"/>
      <c r="AI1111" s="241"/>
      <c r="AJ1111" s="241"/>
      <c r="AK1111" s="241"/>
      <c r="AM1111" s="241"/>
    </row>
    <row r="1112" spans="1:51" s="231" customFormat="1">
      <c r="A1112" s="1"/>
      <c r="B1112" s="44"/>
      <c r="C1112" s="45"/>
      <c r="D1112" s="44"/>
      <c r="F1112" s="669" t="str">
        <f>(MID(F1097,1,1)+1)&amp;"."</f>
        <v>6.</v>
      </c>
      <c r="G1112" s="669"/>
      <c r="H1112" s="268" t="s">
        <v>278</v>
      </c>
      <c r="I1112" s="268"/>
      <c r="J1112" s="268"/>
      <c r="K1112" s="268"/>
      <c r="L1112" s="268"/>
      <c r="M1112" s="268"/>
      <c r="N1112" s="268"/>
      <c r="O1112" s="268"/>
      <c r="P1112" s="268"/>
      <c r="Q1112" s="268"/>
      <c r="R1112" s="268"/>
      <c r="S1112" s="268"/>
      <c r="T1112" s="268"/>
      <c r="U1112" s="268"/>
      <c r="V1112" s="268"/>
      <c r="W1112" s="268"/>
      <c r="X1112" s="268"/>
      <c r="Y1112" s="268"/>
      <c r="Z1112" s="268"/>
      <c r="AA1112" s="268"/>
      <c r="AB1112" s="268"/>
      <c r="AC1112" s="268"/>
      <c r="AD1112" s="268"/>
      <c r="AE1112" s="268"/>
      <c r="AF1112" s="268"/>
      <c r="AG1112" s="268"/>
      <c r="AH1112" s="268"/>
      <c r="AI1112" s="268"/>
      <c r="AJ1112" s="268"/>
      <c r="AK1112" s="268"/>
      <c r="AL1112" s="268"/>
      <c r="AM1112" s="268"/>
    </row>
    <row r="1113" spans="1:51" s="231" customFormat="1">
      <c r="A1113" s="1"/>
      <c r="B1113" s="44"/>
      <c r="C1113" s="45"/>
      <c r="D1113" s="44"/>
    </row>
    <row r="1114" spans="1:51" s="231" customFormat="1" ht="12.75" customHeight="1">
      <c r="A1114" s="1"/>
      <c r="B1114" s="44"/>
      <c r="C1114" s="64"/>
      <c r="D1114" s="44"/>
      <c r="F1114" s="569" t="s">
        <v>1644</v>
      </c>
      <c r="G1114" s="569"/>
      <c r="H1114" s="569"/>
      <c r="I1114" s="569"/>
      <c r="J1114" s="569"/>
      <c r="K1114" s="569"/>
      <c r="L1114" s="569"/>
      <c r="M1114" s="569"/>
      <c r="N1114" s="569"/>
      <c r="O1114" s="569"/>
      <c r="P1114" s="569"/>
      <c r="Q1114" s="569"/>
      <c r="R1114" s="569"/>
      <c r="S1114" s="569"/>
      <c r="T1114" s="569"/>
      <c r="U1114" s="569"/>
      <c r="V1114" s="569"/>
      <c r="W1114" s="569"/>
      <c r="X1114" s="569"/>
      <c r="Y1114" s="569"/>
      <c r="Z1114" s="569"/>
      <c r="AA1114" s="569"/>
      <c r="AB1114" s="569"/>
      <c r="AC1114" s="569"/>
      <c r="AD1114" s="569"/>
      <c r="AE1114" s="569"/>
      <c r="AF1114" s="569"/>
      <c r="AG1114" s="569"/>
      <c r="AH1114" s="569"/>
      <c r="AI1114" s="569"/>
      <c r="AJ1114" s="569"/>
      <c r="AK1114" s="569"/>
      <c r="AL1114" s="569"/>
      <c r="AM1114" s="249"/>
    </row>
    <row r="1115" spans="1:51" s="231" customFormat="1" ht="12.75" customHeight="1">
      <c r="A1115" s="1"/>
      <c r="B1115" s="44"/>
      <c r="C1115" s="45"/>
      <c r="D1115" s="44"/>
      <c r="F1115" s="569"/>
      <c r="G1115" s="569"/>
      <c r="H1115" s="569"/>
      <c r="I1115" s="569"/>
      <c r="J1115" s="569"/>
      <c r="K1115" s="569"/>
      <c r="L1115" s="569"/>
      <c r="M1115" s="569"/>
      <c r="N1115" s="569"/>
      <c r="O1115" s="569"/>
      <c r="P1115" s="569"/>
      <c r="Q1115" s="569"/>
      <c r="R1115" s="569"/>
      <c r="S1115" s="569"/>
      <c r="T1115" s="569"/>
      <c r="U1115" s="569"/>
      <c r="V1115" s="569"/>
      <c r="W1115" s="569"/>
      <c r="X1115" s="569"/>
      <c r="Y1115" s="569"/>
      <c r="Z1115" s="569"/>
      <c r="AA1115" s="569"/>
      <c r="AB1115" s="569"/>
      <c r="AC1115" s="569"/>
      <c r="AD1115" s="569"/>
      <c r="AE1115" s="569"/>
      <c r="AF1115" s="569"/>
      <c r="AG1115" s="569"/>
      <c r="AH1115" s="569"/>
      <c r="AI1115" s="569"/>
      <c r="AJ1115" s="569"/>
      <c r="AK1115" s="569"/>
      <c r="AL1115" s="569"/>
      <c r="AM1115" s="249"/>
    </row>
    <row r="1116" spans="1:51" s="231" customFormat="1">
      <c r="A1116" s="1"/>
      <c r="B1116" s="44"/>
      <c r="C1116" s="45"/>
      <c r="D1116" s="44"/>
      <c r="F1116" s="569"/>
      <c r="G1116" s="569"/>
      <c r="H1116" s="569"/>
      <c r="I1116" s="569"/>
      <c r="J1116" s="569"/>
      <c r="K1116" s="569"/>
      <c r="L1116" s="569"/>
      <c r="M1116" s="569"/>
      <c r="N1116" s="569"/>
      <c r="O1116" s="569"/>
      <c r="P1116" s="569"/>
      <c r="Q1116" s="569"/>
      <c r="R1116" s="569"/>
      <c r="S1116" s="569"/>
      <c r="T1116" s="569"/>
      <c r="U1116" s="569"/>
      <c r="V1116" s="569"/>
      <c r="W1116" s="569"/>
      <c r="X1116" s="569"/>
      <c r="Y1116" s="569"/>
      <c r="Z1116" s="569"/>
      <c r="AA1116" s="569"/>
      <c r="AB1116" s="569"/>
      <c r="AC1116" s="569"/>
      <c r="AD1116" s="569"/>
      <c r="AE1116" s="569"/>
      <c r="AF1116" s="569"/>
      <c r="AG1116" s="569"/>
      <c r="AH1116" s="569"/>
      <c r="AI1116" s="569"/>
      <c r="AJ1116" s="569"/>
      <c r="AK1116" s="569"/>
      <c r="AL1116" s="569"/>
      <c r="AM1116" s="121"/>
    </row>
    <row r="1117" spans="1:51" s="231" customFormat="1">
      <c r="A1117" s="292"/>
      <c r="B1117" s="44"/>
      <c r="C1117" s="49"/>
      <c r="D1117" s="44"/>
      <c r="AG1117" s="597">
        <v>2020</v>
      </c>
      <c r="AH1117" s="597"/>
      <c r="AI1117" s="597"/>
      <c r="AJ1117" s="597"/>
      <c r="AK1117" s="597"/>
      <c r="AM1117" s="256"/>
    </row>
    <row r="1118" spans="1:51" s="231" customFormat="1">
      <c r="A1118" s="293"/>
      <c r="B1118" s="65"/>
      <c r="C1118" s="65"/>
      <c r="D1118" s="44"/>
      <c r="F1118" s="568" t="s">
        <v>279</v>
      </c>
      <c r="G1118" s="568"/>
      <c r="H1118" s="568"/>
      <c r="I1118" s="568"/>
      <c r="J1118" s="568"/>
      <c r="K1118" s="568"/>
      <c r="L1118" s="568"/>
      <c r="M1118" s="568"/>
      <c r="N1118" s="568"/>
      <c r="O1118" s="568"/>
      <c r="P1118" s="568"/>
      <c r="Q1118" s="568"/>
      <c r="R1118" s="568"/>
      <c r="S1118" s="568"/>
      <c r="T1118" s="568"/>
      <c r="U1118" s="568"/>
      <c r="V1118" s="568"/>
      <c r="W1118" s="568"/>
      <c r="X1118" s="568"/>
      <c r="Y1118" s="568"/>
      <c r="AG1118" s="566">
        <f>-92</f>
        <v>-92</v>
      </c>
      <c r="AH1118" s="566"/>
      <c r="AI1118" s="566"/>
      <c r="AJ1118" s="566"/>
      <c r="AK1118" s="566"/>
      <c r="AL1118" s="266"/>
      <c r="AM1118" s="222"/>
      <c r="AN1118" s="266">
        <f t="shared" ref="AN1118:AN1122" si="1">ROUND(AG1118,0)</f>
        <v>-92</v>
      </c>
      <c r="AO1118" s="266"/>
      <c r="AW1118" s="231" t="s">
        <v>280</v>
      </c>
      <c r="AX1118" s="231" t="s">
        <v>281</v>
      </c>
      <c r="AY1118" s="231" t="s">
        <v>282</v>
      </c>
    </row>
    <row r="1119" spans="1:51" s="231" customFormat="1">
      <c r="A1119" s="293"/>
      <c r="B1119" s="65"/>
      <c r="C1119" s="65"/>
      <c r="D1119" s="44"/>
      <c r="F1119" s="568" t="s">
        <v>283</v>
      </c>
      <c r="G1119" s="568"/>
      <c r="H1119" s="568"/>
      <c r="I1119" s="568"/>
      <c r="J1119" s="568"/>
      <c r="K1119" s="568"/>
      <c r="L1119" s="568"/>
      <c r="M1119" s="568"/>
      <c r="N1119" s="568"/>
      <c r="O1119" s="568"/>
      <c r="P1119" s="568"/>
      <c r="Q1119" s="568"/>
      <c r="R1119" s="568"/>
      <c r="S1119" s="568"/>
      <c r="T1119" s="568"/>
      <c r="U1119" s="568"/>
      <c r="V1119" s="568"/>
      <c r="W1119" s="568"/>
      <c r="X1119" s="568"/>
      <c r="Y1119" s="568"/>
      <c r="AG1119" s="566">
        <f>-622</f>
        <v>-622</v>
      </c>
      <c r="AH1119" s="566"/>
      <c r="AI1119" s="566"/>
      <c r="AJ1119" s="566"/>
      <c r="AK1119" s="566"/>
      <c r="AL1119" s="266"/>
      <c r="AM1119" s="222"/>
      <c r="AN1119" s="266">
        <f t="shared" si="1"/>
        <v>-622</v>
      </c>
      <c r="AO1119" s="266"/>
      <c r="AW1119" s="231" t="s">
        <v>284</v>
      </c>
      <c r="AX1119" s="231" t="s">
        <v>285</v>
      </c>
      <c r="AY1119" s="231" t="s">
        <v>286</v>
      </c>
    </row>
    <row r="1120" spans="1:51" s="231" customFormat="1">
      <c r="A1120" s="293"/>
      <c r="B1120" s="65"/>
      <c r="C1120" s="65"/>
      <c r="D1120" s="44"/>
      <c r="F1120" s="568" t="s">
        <v>287</v>
      </c>
      <c r="G1120" s="568"/>
      <c r="H1120" s="568"/>
      <c r="I1120" s="568"/>
      <c r="J1120" s="568"/>
      <c r="K1120" s="568"/>
      <c r="L1120" s="568"/>
      <c r="M1120" s="568"/>
      <c r="N1120" s="568"/>
      <c r="O1120" s="568"/>
      <c r="P1120" s="568"/>
      <c r="Q1120" s="568"/>
      <c r="R1120" s="568"/>
      <c r="S1120" s="568"/>
      <c r="T1120" s="568"/>
      <c r="U1120" s="568"/>
      <c r="V1120" s="568"/>
      <c r="W1120" s="568"/>
      <c r="X1120" s="568"/>
      <c r="Y1120" s="568"/>
      <c r="AG1120" s="566">
        <f>-412</f>
        <v>-412</v>
      </c>
      <c r="AH1120" s="566"/>
      <c r="AI1120" s="566"/>
      <c r="AJ1120" s="566"/>
      <c r="AK1120" s="566"/>
      <c r="AL1120" s="266"/>
      <c r="AM1120" s="222"/>
      <c r="AN1120" s="266">
        <f t="shared" si="1"/>
        <v>-412</v>
      </c>
      <c r="AO1120" s="266"/>
      <c r="AW1120" s="231" t="s">
        <v>288</v>
      </c>
    </row>
    <row r="1121" spans="1:54" s="231" customFormat="1">
      <c r="A1121" s="293"/>
      <c r="B1121" s="65"/>
      <c r="C1121" s="65"/>
      <c r="D1121" s="44"/>
      <c r="F1121" s="568" t="s">
        <v>1441</v>
      </c>
      <c r="G1121" s="568"/>
      <c r="H1121" s="568"/>
      <c r="I1121" s="568"/>
      <c r="J1121" s="568"/>
      <c r="K1121" s="568"/>
      <c r="L1121" s="568"/>
      <c r="M1121" s="568"/>
      <c r="N1121" s="568"/>
      <c r="O1121" s="568"/>
      <c r="P1121" s="568"/>
      <c r="Q1121" s="568"/>
      <c r="R1121" s="568"/>
      <c r="S1121" s="568"/>
      <c r="T1121" s="568"/>
      <c r="U1121" s="568"/>
      <c r="V1121" s="568"/>
      <c r="W1121" s="568"/>
      <c r="X1121" s="568"/>
      <c r="Y1121" s="568"/>
      <c r="AG1121" s="566">
        <f>-986</f>
        <v>-986</v>
      </c>
      <c r="AH1121" s="566"/>
      <c r="AI1121" s="566"/>
      <c r="AJ1121" s="566"/>
      <c r="AK1121" s="566"/>
      <c r="AL1121" s="266"/>
      <c r="AM1121" s="222"/>
      <c r="AN1121" s="266" t="e">
        <f>ROUND(#REF!,0)</f>
        <v>#REF!</v>
      </c>
      <c r="AO1121" s="266"/>
      <c r="AW1121" s="231" t="s">
        <v>290</v>
      </c>
      <c r="AX1121" s="231" t="s">
        <v>291</v>
      </c>
      <c r="AY1121" s="231" t="s">
        <v>292</v>
      </c>
      <c r="AZ1121" s="231" t="s">
        <v>293</v>
      </c>
      <c r="BA1121" s="231" t="s">
        <v>294</v>
      </c>
      <c r="BB1121" s="231" t="s">
        <v>295</v>
      </c>
    </row>
    <row r="1122" spans="1:54" s="231" customFormat="1">
      <c r="A1122" s="293"/>
      <c r="B1122" s="65"/>
      <c r="C1122" s="65"/>
      <c r="D1122" s="44"/>
      <c r="F1122" s="568" t="s">
        <v>296</v>
      </c>
      <c r="G1122" s="568"/>
      <c r="H1122" s="568"/>
      <c r="I1122" s="568"/>
      <c r="J1122" s="568"/>
      <c r="K1122" s="568"/>
      <c r="L1122" s="568"/>
      <c r="M1122" s="568"/>
      <c r="N1122" s="568"/>
      <c r="O1122" s="568"/>
      <c r="P1122" s="568"/>
      <c r="Q1122" s="568"/>
      <c r="R1122" s="568"/>
      <c r="S1122" s="568"/>
      <c r="T1122" s="568"/>
      <c r="U1122" s="568"/>
      <c r="V1122" s="568"/>
      <c r="W1122" s="568"/>
      <c r="X1122" s="568"/>
      <c r="Y1122" s="568"/>
      <c r="AG1122" s="566">
        <f>-5583</f>
        <v>-5583</v>
      </c>
      <c r="AH1122" s="566"/>
      <c r="AI1122" s="566"/>
      <c r="AJ1122" s="566"/>
      <c r="AK1122" s="566"/>
      <c r="AL1122" s="266"/>
      <c r="AM1122" s="222"/>
      <c r="AN1122" s="266">
        <f t="shared" si="1"/>
        <v>-5583</v>
      </c>
      <c r="AO1122" s="266"/>
      <c r="AW1122" s="231" t="s">
        <v>297</v>
      </c>
    </row>
    <row r="1123" spans="1:54" s="231" customFormat="1" ht="13.5" thickBot="1">
      <c r="A1123" s="1"/>
      <c r="B1123" s="44"/>
      <c r="C1123" s="45"/>
      <c r="D1123" s="44"/>
      <c r="AG1123" s="677">
        <f>'ОСВ в работу'!X80/1000</f>
        <v>7695.3337799999999</v>
      </c>
      <c r="AH1123" s="677"/>
      <c r="AI1123" s="677"/>
      <c r="AJ1123" s="677"/>
      <c r="AK1123" s="677"/>
      <c r="AL1123" s="266"/>
      <c r="AM1123" s="296"/>
    </row>
    <row r="1124" spans="1:54" s="231" customFormat="1" ht="13.5" thickTop="1">
      <c r="A1124" s="1"/>
      <c r="B1124" s="1"/>
      <c r="C1124" s="2"/>
      <c r="D1124" s="1"/>
      <c r="AG1124" s="294"/>
      <c r="AH1124" s="294"/>
      <c r="AI1124" s="294"/>
      <c r="AJ1124" s="294"/>
      <c r="AK1124" s="294"/>
      <c r="AL1124" s="266"/>
      <c r="AM1124" s="294"/>
    </row>
    <row r="1125" spans="1:54" s="231" customFormat="1">
      <c r="A1125" s="1"/>
      <c r="B1125" s="1"/>
      <c r="C1125" s="2"/>
      <c r="D1125" s="1"/>
    </row>
    <row r="1126" spans="1:54" s="231" customFormat="1">
      <c r="A1126" s="1"/>
      <c r="B1126" s="44"/>
      <c r="C1126" s="45"/>
      <c r="D1126" s="44"/>
      <c r="F1126" s="669" t="str">
        <f>(MID(F1112,1,1)+1)&amp;"."</f>
        <v>7.</v>
      </c>
      <c r="G1126" s="669"/>
      <c r="H1126" s="268" t="s">
        <v>298</v>
      </c>
      <c r="I1126" s="268"/>
      <c r="J1126" s="268"/>
      <c r="K1126" s="268"/>
      <c r="L1126" s="268"/>
      <c r="M1126" s="268"/>
      <c r="N1126" s="268"/>
      <c r="O1126" s="268"/>
      <c r="P1126" s="268"/>
      <c r="Q1126" s="268"/>
      <c r="R1126" s="268"/>
      <c r="S1126" s="268"/>
      <c r="T1126" s="268"/>
      <c r="U1126" s="268"/>
      <c r="V1126" s="268"/>
      <c r="W1126" s="268"/>
      <c r="X1126" s="268"/>
      <c r="Y1126" s="268"/>
      <c r="Z1126" s="268"/>
      <c r="AA1126" s="268"/>
      <c r="AB1126" s="268"/>
      <c r="AC1126" s="268"/>
      <c r="AD1126" s="268"/>
      <c r="AE1126" s="268"/>
      <c r="AF1126" s="268"/>
      <c r="AG1126" s="268"/>
      <c r="AH1126" s="268"/>
      <c r="AI1126" s="268"/>
      <c r="AJ1126" s="268"/>
      <c r="AK1126" s="268"/>
      <c r="AL1126" s="268"/>
      <c r="AM1126" s="268"/>
    </row>
    <row r="1127" spans="1:54" s="231" customFormat="1">
      <c r="A1127" s="1"/>
      <c r="B1127" s="44"/>
      <c r="C1127" s="45"/>
      <c r="D1127" s="44"/>
      <c r="F1127" s="234"/>
      <c r="G1127" s="234"/>
      <c r="H1127" s="235"/>
      <c r="I1127" s="235"/>
      <c r="J1127" s="235"/>
      <c r="K1127" s="235"/>
      <c r="L1127" s="235"/>
      <c r="M1127" s="235"/>
      <c r="N1127" s="235"/>
      <c r="O1127" s="235"/>
      <c r="P1127" s="235"/>
      <c r="Q1127" s="235"/>
      <c r="R1127" s="235"/>
      <c r="S1127" s="235"/>
      <c r="T1127" s="235"/>
      <c r="U1127" s="235"/>
      <c r="V1127" s="235"/>
      <c r="W1127" s="235"/>
      <c r="X1127" s="235"/>
      <c r="Y1127" s="235"/>
      <c r="Z1127" s="235"/>
      <c r="AA1127" s="235"/>
      <c r="AB1127" s="235"/>
      <c r="AC1127" s="235"/>
      <c r="AD1127" s="235"/>
      <c r="AE1127" s="235"/>
      <c r="AF1127" s="235"/>
      <c r="AG1127" s="235"/>
      <c r="AH1127" s="235"/>
      <c r="AI1127" s="235"/>
      <c r="AJ1127" s="235"/>
      <c r="AK1127" s="235"/>
      <c r="AL1127" s="235"/>
      <c r="AM1127" s="235"/>
    </row>
    <row r="1128" spans="1:54" s="231" customFormat="1" ht="12.75" customHeight="1">
      <c r="A1128" s="1"/>
      <c r="B1128" s="44"/>
      <c r="C1128" s="45"/>
      <c r="D1128" s="44"/>
      <c r="F1128" s="569" t="s">
        <v>1645</v>
      </c>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69"/>
      <c r="AL1128" s="569"/>
      <c r="AM1128" s="249"/>
    </row>
    <row r="1129" spans="1:54" s="231" customFormat="1" ht="12.75" customHeight="1">
      <c r="A1129" s="1"/>
      <c r="B1129" s="44"/>
      <c r="C1129" s="45"/>
      <c r="D1129" s="44"/>
      <c r="F1129" s="569"/>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69"/>
      <c r="AL1129" s="569"/>
      <c r="AM1129" s="249"/>
    </row>
    <row r="1130" spans="1:54" s="231" customFormat="1">
      <c r="B1130" s="46"/>
      <c r="C1130" s="46"/>
      <c r="D1130" s="46"/>
      <c r="AG1130" s="597">
        <v>2020</v>
      </c>
      <c r="AH1130" s="597"/>
      <c r="AI1130" s="597"/>
      <c r="AJ1130" s="597"/>
      <c r="AK1130" s="597"/>
      <c r="AM1130" s="256"/>
    </row>
    <row r="1131" spans="1:54" s="231" customFormat="1">
      <c r="B1131" s="46"/>
      <c r="C1131" s="46"/>
      <c r="D1131" s="46"/>
      <c r="F1131" s="568" t="s">
        <v>283</v>
      </c>
      <c r="G1131" s="568"/>
      <c r="H1131" s="568"/>
      <c r="I1131" s="568"/>
      <c r="J1131" s="568"/>
      <c r="K1131" s="568"/>
      <c r="L1131" s="568"/>
      <c r="M1131" s="568"/>
      <c r="N1131" s="568"/>
      <c r="O1131" s="568"/>
      <c r="P1131" s="568"/>
      <c r="Q1131" s="568"/>
      <c r="R1131" s="568"/>
      <c r="S1131" s="568"/>
      <c r="T1131" s="568"/>
      <c r="U1131" s="568"/>
      <c r="V1131" s="568"/>
      <c r="W1131" s="568"/>
      <c r="X1131" s="568"/>
      <c r="AG1131" s="566">
        <f>-151</f>
        <v>-151</v>
      </c>
      <c r="AH1131" s="566"/>
      <c r="AI1131" s="566"/>
      <c r="AJ1131" s="566"/>
      <c r="AK1131" s="566"/>
      <c r="AL1131" s="266"/>
      <c r="AM1131" s="222"/>
      <c r="AN1131" s="266">
        <f t="shared" ref="AN1131:AN1138" si="2">ROUND(AG1131,0)</f>
        <v>-151</v>
      </c>
      <c r="AO1131" s="266"/>
      <c r="AW1131" s="231" t="s">
        <v>299</v>
      </c>
      <c r="AX1131" s="231" t="s">
        <v>300</v>
      </c>
      <c r="AY1131" s="231" t="s">
        <v>301</v>
      </c>
    </row>
    <row r="1132" spans="1:54" s="231" customFormat="1">
      <c r="B1132" s="46"/>
      <c r="C1132" s="46"/>
      <c r="D1132" s="46"/>
      <c r="F1132" s="568" t="s">
        <v>302</v>
      </c>
      <c r="G1132" s="568"/>
      <c r="H1132" s="568"/>
      <c r="I1132" s="568"/>
      <c r="J1132" s="568"/>
      <c r="K1132" s="568"/>
      <c r="L1132" s="568"/>
      <c r="M1132" s="568"/>
      <c r="N1132" s="568"/>
      <c r="O1132" s="568"/>
      <c r="P1132" s="568"/>
      <c r="Q1132" s="568"/>
      <c r="R1132" s="568"/>
      <c r="S1132" s="568"/>
      <c r="T1132" s="568"/>
      <c r="U1132" s="568"/>
      <c r="V1132" s="568"/>
      <c r="W1132" s="568"/>
      <c r="X1132" s="568"/>
      <c r="Y1132" s="568"/>
      <c r="AG1132" s="566"/>
      <c r="AH1132" s="566"/>
      <c r="AI1132" s="566"/>
      <c r="AJ1132" s="566"/>
      <c r="AK1132" s="566"/>
      <c r="AM1132" s="222"/>
      <c r="AN1132" s="266">
        <f t="shared" si="2"/>
        <v>0</v>
      </c>
      <c r="AO1132" s="266"/>
      <c r="AW1132" s="231" t="s">
        <v>303</v>
      </c>
    </row>
    <row r="1133" spans="1:54" s="231" customFormat="1">
      <c r="B1133" s="46"/>
      <c r="C1133" s="46"/>
      <c r="D1133" s="46"/>
      <c r="F1133" s="568" t="s">
        <v>289</v>
      </c>
      <c r="G1133" s="568"/>
      <c r="H1133" s="568"/>
      <c r="I1133" s="568"/>
      <c r="J1133" s="568"/>
      <c r="K1133" s="568"/>
      <c r="L1133" s="568"/>
      <c r="M1133" s="568"/>
      <c r="N1133" s="568"/>
      <c r="O1133" s="568"/>
      <c r="P1133" s="568"/>
      <c r="Q1133" s="568"/>
      <c r="R1133" s="568"/>
      <c r="S1133" s="568"/>
      <c r="T1133" s="568"/>
      <c r="U1133" s="568"/>
      <c r="V1133" s="568"/>
      <c r="W1133" s="568"/>
      <c r="X1133" s="568"/>
      <c r="Y1133" s="568"/>
      <c r="AG1133" s="566"/>
      <c r="AH1133" s="566"/>
      <c r="AI1133" s="566"/>
      <c r="AJ1133" s="566"/>
      <c r="AK1133" s="566"/>
      <c r="AM1133" s="222"/>
      <c r="AN1133" s="266">
        <f t="shared" si="2"/>
        <v>0</v>
      </c>
      <c r="AO1133" s="266"/>
      <c r="AW1133" s="231" t="s">
        <v>304</v>
      </c>
    </row>
    <row r="1134" spans="1:54" s="231" customFormat="1">
      <c r="B1134" s="46"/>
      <c r="C1134" s="46"/>
      <c r="D1134" s="46"/>
      <c r="F1134" s="568" t="s">
        <v>305</v>
      </c>
      <c r="G1134" s="568"/>
      <c r="H1134" s="568"/>
      <c r="I1134" s="568"/>
      <c r="J1134" s="568"/>
      <c r="K1134" s="568"/>
      <c r="L1134" s="568"/>
      <c r="M1134" s="568"/>
      <c r="N1134" s="568"/>
      <c r="O1134" s="568"/>
      <c r="P1134" s="568"/>
      <c r="Q1134" s="568"/>
      <c r="R1134" s="568"/>
      <c r="S1134" s="568"/>
      <c r="T1134" s="568"/>
      <c r="U1134" s="568"/>
      <c r="V1134" s="568"/>
      <c r="W1134" s="568"/>
      <c r="X1134" s="568"/>
      <c r="AG1134" s="566"/>
      <c r="AH1134" s="566"/>
      <c r="AI1134" s="566"/>
      <c r="AJ1134" s="566"/>
      <c r="AK1134" s="566"/>
      <c r="AM1134" s="222"/>
      <c r="AN1134" s="266">
        <f t="shared" si="2"/>
        <v>0</v>
      </c>
      <c r="AO1134" s="266"/>
      <c r="AW1134" s="231" t="s">
        <v>306</v>
      </c>
      <c r="AX1134" s="231" t="s">
        <v>307</v>
      </c>
      <c r="AY1134" s="231" t="s">
        <v>308</v>
      </c>
    </row>
    <row r="1135" spans="1:54" ht="12.75" hidden="1" customHeight="1">
      <c r="A1135" s="3"/>
      <c r="B1135" s="3"/>
      <c r="C1135" s="3"/>
      <c r="D1135" s="3"/>
      <c r="F1135" s="568" t="s">
        <v>309</v>
      </c>
      <c r="G1135" s="568"/>
      <c r="H1135" s="568"/>
      <c r="I1135" s="568"/>
      <c r="J1135" s="568"/>
      <c r="K1135" s="568"/>
      <c r="L1135" s="568"/>
      <c r="M1135" s="568"/>
      <c r="N1135" s="568"/>
      <c r="O1135" s="568"/>
      <c r="P1135" s="568"/>
      <c r="Q1135" s="568"/>
      <c r="R1135" s="568"/>
      <c r="S1135" s="568"/>
      <c r="T1135" s="568"/>
      <c r="U1135" s="568"/>
      <c r="V1135" s="568"/>
      <c r="W1135" s="568"/>
      <c r="X1135" s="568"/>
      <c r="AG1135" s="566">
        <v>51</v>
      </c>
      <c r="AH1135" s="566"/>
      <c r="AI1135" s="566"/>
      <c r="AJ1135" s="566"/>
      <c r="AK1135" s="566"/>
      <c r="AM1135" s="222"/>
      <c r="AN1135" s="19">
        <f t="shared" si="2"/>
        <v>51</v>
      </c>
      <c r="AO1135" s="19"/>
      <c r="AW1135" s="3" t="s">
        <v>310</v>
      </c>
    </row>
    <row r="1136" spans="1:54" ht="12.75" hidden="1" customHeight="1">
      <c r="A1136" s="3"/>
      <c r="B1136" s="3"/>
      <c r="C1136" s="3"/>
      <c r="D1136" s="3"/>
      <c r="F1136" s="568" t="s">
        <v>311</v>
      </c>
      <c r="G1136" s="568"/>
      <c r="H1136" s="568"/>
      <c r="I1136" s="568"/>
      <c r="J1136" s="568"/>
      <c r="K1136" s="568"/>
      <c r="L1136" s="568"/>
      <c r="M1136" s="568"/>
      <c r="N1136" s="568"/>
      <c r="O1136" s="568"/>
      <c r="P1136" s="568"/>
      <c r="Q1136" s="568"/>
      <c r="R1136" s="568"/>
      <c r="S1136" s="568"/>
      <c r="T1136" s="568"/>
      <c r="U1136" s="568"/>
      <c r="V1136" s="568"/>
      <c r="W1136" s="568"/>
      <c r="X1136" s="568"/>
      <c r="AG1136" s="566">
        <v>25</v>
      </c>
      <c r="AH1136" s="566"/>
      <c r="AI1136" s="566"/>
      <c r="AJ1136" s="566"/>
      <c r="AK1136" s="566"/>
      <c r="AM1136" s="222"/>
      <c r="AN1136" s="19">
        <f t="shared" si="2"/>
        <v>25</v>
      </c>
      <c r="AO1136" s="19"/>
      <c r="AW1136" s="3" t="s">
        <v>312</v>
      </c>
    </row>
    <row r="1137" spans="1:55" s="231" customFormat="1">
      <c r="B1137" s="46"/>
      <c r="C1137" s="46"/>
      <c r="D1137" s="46"/>
      <c r="F1137" s="568" t="s">
        <v>313</v>
      </c>
      <c r="G1137" s="568"/>
      <c r="H1137" s="568"/>
      <c r="I1137" s="568"/>
      <c r="J1137" s="568"/>
      <c r="K1137" s="568"/>
      <c r="L1137" s="568"/>
      <c r="M1137" s="568"/>
      <c r="N1137" s="568"/>
      <c r="O1137" s="568"/>
      <c r="P1137" s="568"/>
      <c r="Q1137" s="568"/>
      <c r="R1137" s="568"/>
      <c r="S1137" s="568"/>
      <c r="T1137" s="568"/>
      <c r="U1137" s="568"/>
      <c r="V1137" s="568"/>
      <c r="W1137" s="568"/>
      <c r="X1137" s="568"/>
      <c r="AG1137" s="566"/>
      <c r="AH1137" s="566"/>
      <c r="AI1137" s="566"/>
      <c r="AJ1137" s="566"/>
      <c r="AK1137" s="566"/>
      <c r="AM1137" s="222"/>
      <c r="AN1137" s="266">
        <f t="shared" si="2"/>
        <v>0</v>
      </c>
      <c r="AO1137" s="266"/>
      <c r="AW1137" s="231" t="s">
        <v>314</v>
      </c>
    </row>
    <row r="1138" spans="1:55" s="231" customFormat="1">
      <c r="B1138" s="46"/>
      <c r="C1138" s="46"/>
      <c r="D1138" s="46"/>
      <c r="F1138" s="568" t="s">
        <v>296</v>
      </c>
      <c r="G1138" s="568"/>
      <c r="H1138" s="568"/>
      <c r="I1138" s="568"/>
      <c r="J1138" s="568"/>
      <c r="K1138" s="568"/>
      <c r="L1138" s="568"/>
      <c r="M1138" s="568"/>
      <c r="N1138" s="568"/>
      <c r="O1138" s="568"/>
      <c r="P1138" s="568"/>
      <c r="Q1138" s="568"/>
      <c r="R1138" s="568"/>
      <c r="S1138" s="568"/>
      <c r="T1138" s="568"/>
      <c r="U1138" s="568"/>
      <c r="V1138" s="568"/>
      <c r="W1138" s="568"/>
      <c r="X1138" s="568"/>
      <c r="AG1138" s="566">
        <f>-287</f>
        <v>-287</v>
      </c>
      <c r="AH1138" s="566"/>
      <c r="AI1138" s="566"/>
      <c r="AJ1138" s="566"/>
      <c r="AK1138" s="566"/>
      <c r="AM1138" s="222"/>
      <c r="AN1138" s="266">
        <f t="shared" si="2"/>
        <v>-287</v>
      </c>
      <c r="AO1138" s="266"/>
      <c r="AW1138" s="231" t="s">
        <v>315</v>
      </c>
      <c r="AX1138" s="231" t="s">
        <v>316</v>
      </c>
    </row>
    <row r="1139" spans="1:55" s="231" customFormat="1" ht="17.100000000000001" customHeight="1" thickBot="1">
      <c r="B1139" s="46"/>
      <c r="C1139" s="46"/>
      <c r="D1139" s="46"/>
      <c r="AG1139" s="675">
        <f>'ОСВ в работу'!X83/1000</f>
        <v>438.39030000000002</v>
      </c>
      <c r="AH1139" s="675"/>
      <c r="AI1139" s="675"/>
      <c r="AJ1139" s="675"/>
      <c r="AK1139" s="675"/>
      <c r="AM1139" s="240"/>
    </row>
    <row r="1140" spans="1:55" s="231" customFormat="1" ht="12" customHeight="1" thickTop="1">
      <c r="B1140" s="46"/>
      <c r="C1140" s="46"/>
      <c r="D1140" s="46"/>
      <c r="AG1140" s="297"/>
      <c r="AH1140" s="297"/>
      <c r="AI1140" s="297"/>
      <c r="AJ1140" s="297"/>
      <c r="AK1140" s="297"/>
      <c r="AM1140" s="297"/>
    </row>
    <row r="1141" spans="1:55" s="231" customFormat="1" ht="17.100000000000001" customHeight="1">
      <c r="B1141" s="3"/>
      <c r="C1141" s="3"/>
      <c r="D1141" s="3"/>
      <c r="F1141" s="669" t="str">
        <f>(MID(F1126,1,1)+1)&amp;"."</f>
        <v>8.</v>
      </c>
      <c r="G1141" s="669"/>
      <c r="H1141" s="268" t="s">
        <v>317</v>
      </c>
      <c r="I1141" s="268"/>
      <c r="J1141" s="268"/>
      <c r="K1141" s="268"/>
      <c r="L1141" s="268"/>
      <c r="M1141" s="268"/>
      <c r="N1141" s="268"/>
      <c r="O1141" s="268"/>
      <c r="P1141" s="268"/>
      <c r="Q1141" s="268"/>
      <c r="R1141" s="268"/>
      <c r="S1141" s="268"/>
      <c r="T1141" s="268"/>
      <c r="U1141" s="268"/>
      <c r="V1141" s="268"/>
      <c r="W1141" s="268"/>
      <c r="X1141" s="268"/>
      <c r="Y1141" s="268"/>
      <c r="Z1141" s="268"/>
      <c r="AA1141" s="268"/>
      <c r="AB1141" s="268"/>
      <c r="AC1141" s="268"/>
      <c r="AD1141" s="268"/>
      <c r="AE1141" s="268"/>
      <c r="AF1141" s="268"/>
      <c r="AG1141" s="268"/>
      <c r="AH1141" s="268"/>
      <c r="AI1141" s="268"/>
      <c r="AJ1141" s="268"/>
      <c r="AK1141" s="268"/>
      <c r="AL1141" s="268"/>
      <c r="AM1141" s="268"/>
    </row>
    <row r="1142" spans="1:55" s="231" customFormat="1">
      <c r="A1142" s="1"/>
      <c r="B1142" s="1"/>
      <c r="C1142" s="2"/>
      <c r="D1142" s="1"/>
    </row>
    <row r="1143" spans="1:55" s="231" customFormat="1" ht="12.75" customHeight="1">
      <c r="B1143" s="46"/>
      <c r="C1143" s="46"/>
      <c r="D1143" s="46"/>
      <c r="F1143" s="569" t="s">
        <v>1646</v>
      </c>
      <c r="G1143" s="569"/>
      <c r="H1143" s="569"/>
      <c r="I1143" s="569"/>
      <c r="J1143" s="569"/>
      <c r="K1143" s="569"/>
      <c r="L1143" s="569"/>
      <c r="M1143" s="569"/>
      <c r="N1143" s="569"/>
      <c r="O1143" s="569"/>
      <c r="P1143" s="569"/>
      <c r="Q1143" s="569"/>
      <c r="R1143" s="569"/>
      <c r="S1143" s="569"/>
      <c r="T1143" s="569"/>
      <c r="U1143" s="569"/>
      <c r="V1143" s="569"/>
      <c r="W1143" s="569"/>
      <c r="X1143" s="569"/>
      <c r="Y1143" s="569"/>
      <c r="Z1143" s="569"/>
      <c r="AA1143" s="569"/>
      <c r="AB1143" s="569"/>
      <c r="AC1143" s="569"/>
      <c r="AD1143" s="569"/>
      <c r="AE1143" s="569"/>
      <c r="AF1143" s="569"/>
      <c r="AG1143" s="569"/>
      <c r="AH1143" s="569"/>
      <c r="AI1143" s="569"/>
      <c r="AJ1143" s="569"/>
      <c r="AK1143" s="569"/>
      <c r="AL1143" s="569"/>
      <c r="AM1143" s="249"/>
    </row>
    <row r="1144" spans="1:55" s="231" customFormat="1" ht="12.75" customHeight="1">
      <c r="B1144" s="46"/>
      <c r="C1144" s="46"/>
      <c r="D1144" s="46"/>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69"/>
      <c r="AB1144" s="569"/>
      <c r="AC1144" s="569"/>
      <c r="AD1144" s="569"/>
      <c r="AE1144" s="569"/>
      <c r="AF1144" s="569"/>
      <c r="AG1144" s="569"/>
      <c r="AH1144" s="569"/>
      <c r="AI1144" s="569"/>
      <c r="AJ1144" s="569"/>
      <c r="AK1144" s="569"/>
      <c r="AL1144" s="569"/>
      <c r="AM1144" s="249"/>
    </row>
    <row r="1145" spans="1:55" s="231" customFormat="1">
      <c r="B1145" s="46"/>
      <c r="C1145" s="46"/>
      <c r="D1145" s="46"/>
      <c r="AG1145" s="597">
        <v>2020</v>
      </c>
      <c r="AH1145" s="597"/>
      <c r="AI1145" s="597"/>
      <c r="AJ1145" s="597"/>
      <c r="AK1145" s="597"/>
      <c r="AM1145" s="256"/>
      <c r="AV1145" s="242"/>
      <c r="AW1145" s="242"/>
      <c r="AX1145" s="242"/>
      <c r="AY1145" s="242"/>
      <c r="AZ1145" s="242"/>
      <c r="BA1145" s="242"/>
      <c r="BB1145" s="242"/>
      <c r="BC1145" s="242"/>
    </row>
    <row r="1146" spans="1:55" s="231" customFormat="1">
      <c r="B1146" s="46"/>
      <c r="C1146" s="46"/>
      <c r="D1146" s="46"/>
      <c r="F1146" s="583" t="s">
        <v>318</v>
      </c>
      <c r="G1146" s="583"/>
      <c r="H1146" s="583"/>
      <c r="I1146" s="583"/>
      <c r="J1146" s="583"/>
      <c r="K1146" s="583"/>
      <c r="L1146" s="583"/>
      <c r="M1146" s="583"/>
      <c r="N1146" s="583"/>
      <c r="O1146" s="583"/>
      <c r="P1146" s="583"/>
      <c r="Q1146" s="583"/>
      <c r="R1146" s="583"/>
      <c r="S1146" s="583"/>
      <c r="T1146" s="583"/>
      <c r="U1146" s="583"/>
      <c r="V1146" s="583"/>
      <c r="W1146" s="583"/>
      <c r="X1146" s="583"/>
      <c r="Y1146" s="583"/>
      <c r="AG1146" s="228"/>
      <c r="AH1146" s="228"/>
      <c r="AI1146" s="228"/>
      <c r="AJ1146" s="228"/>
      <c r="AK1146" s="228"/>
      <c r="AM1146" s="228"/>
      <c r="AV1146" s="242"/>
      <c r="AW1146" s="242"/>
      <c r="AX1146" s="242"/>
      <c r="AY1146" s="242"/>
      <c r="AZ1146" s="242"/>
      <c r="BA1146" s="242"/>
      <c r="BB1146" s="242"/>
      <c r="BC1146" s="242"/>
    </row>
    <row r="1147" spans="1:55" s="231" customFormat="1">
      <c r="B1147" s="46"/>
      <c r="C1147" s="46"/>
      <c r="D1147" s="46"/>
      <c r="F1147" s="568" t="s">
        <v>319</v>
      </c>
      <c r="G1147" s="568"/>
      <c r="H1147" s="568"/>
      <c r="I1147" s="568"/>
      <c r="J1147" s="568"/>
      <c r="K1147" s="568"/>
      <c r="L1147" s="568"/>
      <c r="M1147" s="568"/>
      <c r="N1147" s="568"/>
      <c r="O1147" s="568"/>
      <c r="P1147" s="568"/>
      <c r="Q1147" s="568"/>
      <c r="R1147" s="568"/>
      <c r="S1147" s="568"/>
      <c r="T1147" s="568"/>
      <c r="U1147" s="568"/>
      <c r="V1147" s="568"/>
      <c r="W1147" s="568"/>
      <c r="X1147" s="568"/>
      <c r="Y1147" s="568"/>
      <c r="AG1147" s="566" t="s">
        <v>24</v>
      </c>
      <c r="AH1147" s="566"/>
      <c r="AI1147" s="566"/>
      <c r="AJ1147" s="566"/>
      <c r="AK1147" s="566"/>
      <c r="AM1147" s="222"/>
      <c r="AN1147" s="266"/>
      <c r="AO1147" s="266"/>
      <c r="AV1147" s="242"/>
      <c r="AW1147" s="242" t="s">
        <v>320</v>
      </c>
      <c r="AX1147" s="242" t="s">
        <v>321</v>
      </c>
      <c r="AY1147" s="242" t="s">
        <v>102</v>
      </c>
      <c r="AZ1147" s="242" t="s">
        <v>103</v>
      </c>
      <c r="BA1147" s="242"/>
      <c r="BB1147" s="242"/>
      <c r="BC1147" s="242"/>
    </row>
    <row r="1148" spans="1:55" s="231" customFormat="1">
      <c r="B1148" s="46"/>
      <c r="C1148" s="46"/>
      <c r="D1148" s="46"/>
      <c r="AG1148" s="674">
        <f>SUBTOTAL(9,AG1147:AK1147)</f>
        <v>0</v>
      </c>
      <c r="AH1148" s="674"/>
      <c r="AI1148" s="674"/>
      <c r="AJ1148" s="674"/>
      <c r="AK1148" s="674"/>
      <c r="AM1148" s="240"/>
      <c r="AV1148" s="242"/>
      <c r="AW1148" s="242"/>
      <c r="AX1148" s="242"/>
      <c r="AY1148" s="242"/>
      <c r="AZ1148" s="242"/>
      <c r="BA1148" s="242"/>
      <c r="BB1148" s="242"/>
      <c r="BC1148" s="242"/>
    </row>
    <row r="1149" spans="1:55" s="231" customFormat="1">
      <c r="B1149" s="46"/>
      <c r="C1149" s="46"/>
      <c r="D1149" s="46"/>
      <c r="F1149" s="583" t="s">
        <v>322</v>
      </c>
      <c r="G1149" s="583"/>
      <c r="H1149" s="583"/>
      <c r="I1149" s="583"/>
      <c r="J1149" s="583"/>
      <c r="K1149" s="583"/>
      <c r="L1149" s="583"/>
      <c r="M1149" s="583"/>
      <c r="N1149" s="583"/>
      <c r="O1149" s="583"/>
      <c r="P1149" s="583"/>
      <c r="Q1149" s="583"/>
      <c r="R1149" s="583"/>
      <c r="S1149" s="583"/>
      <c r="T1149" s="583"/>
      <c r="U1149" s="583"/>
      <c r="V1149" s="583"/>
      <c r="W1149" s="583"/>
      <c r="X1149" s="583"/>
      <c r="Y1149" s="583"/>
      <c r="AM1149" s="121"/>
      <c r="AV1149" s="242"/>
      <c r="AW1149" s="242"/>
      <c r="AX1149" s="242"/>
      <c r="AY1149" s="242"/>
      <c r="AZ1149" s="242"/>
      <c r="BA1149" s="242"/>
      <c r="BB1149" s="242"/>
      <c r="BC1149" s="242"/>
    </row>
    <row r="1150" spans="1:55" s="231" customFormat="1">
      <c r="B1150" s="46"/>
      <c r="C1150" s="46"/>
      <c r="D1150" s="46"/>
      <c r="F1150" s="568" t="s">
        <v>323</v>
      </c>
      <c r="G1150" s="568"/>
      <c r="H1150" s="568"/>
      <c r="I1150" s="568"/>
      <c r="J1150" s="568"/>
      <c r="K1150" s="568"/>
      <c r="L1150" s="568"/>
      <c r="M1150" s="568"/>
      <c r="N1150" s="568"/>
      <c r="O1150" s="568"/>
      <c r="P1150" s="568"/>
      <c r="Q1150" s="568"/>
      <c r="R1150" s="568"/>
      <c r="S1150" s="568"/>
      <c r="T1150" s="568"/>
      <c r="U1150" s="568"/>
      <c r="V1150" s="568"/>
      <c r="W1150" s="568"/>
      <c r="X1150" s="568"/>
      <c r="Y1150" s="568"/>
      <c r="AG1150" s="566" t="s">
        <v>24</v>
      </c>
      <c r="AH1150" s="566"/>
      <c r="AI1150" s="566"/>
      <c r="AJ1150" s="566"/>
      <c r="AK1150" s="566"/>
      <c r="AM1150" s="222"/>
      <c r="AN1150" s="266"/>
      <c r="AO1150" s="266"/>
      <c r="AV1150" s="242"/>
      <c r="AW1150" s="242" t="s">
        <v>324</v>
      </c>
      <c r="AX1150" s="242"/>
      <c r="AY1150" s="242"/>
      <c r="AZ1150" s="242"/>
      <c r="BA1150" s="242"/>
      <c r="BB1150" s="242"/>
      <c r="BC1150" s="242"/>
    </row>
    <row r="1151" spans="1:55" s="231" customFormat="1">
      <c r="B1151" s="46"/>
      <c r="C1151" s="46"/>
      <c r="D1151" s="46"/>
      <c r="E1151" s="242"/>
      <c r="F1151" s="684" t="s">
        <v>325</v>
      </c>
      <c r="G1151" s="684"/>
      <c r="H1151" s="684"/>
      <c r="I1151" s="684"/>
      <c r="J1151" s="684"/>
      <c r="K1151" s="684"/>
      <c r="L1151" s="684"/>
      <c r="M1151" s="684"/>
      <c r="N1151" s="684"/>
      <c r="O1151" s="684"/>
      <c r="P1151" s="684"/>
      <c r="Q1151" s="684"/>
      <c r="R1151" s="684"/>
      <c r="S1151" s="684"/>
      <c r="T1151" s="684"/>
      <c r="U1151" s="684"/>
      <c r="V1151" s="684"/>
      <c r="W1151" s="684"/>
      <c r="X1151" s="684"/>
      <c r="Y1151" s="684"/>
      <c r="Z1151" s="242"/>
      <c r="AA1151" s="242"/>
      <c r="AB1151" s="242"/>
      <c r="AC1151" s="242"/>
      <c r="AD1151" s="242"/>
      <c r="AE1151" s="242"/>
      <c r="AF1151" s="242"/>
      <c r="AG1151" s="566" t="s">
        <v>24</v>
      </c>
      <c r="AH1151" s="566"/>
      <c r="AI1151" s="566"/>
      <c r="AJ1151" s="566"/>
      <c r="AK1151" s="566"/>
      <c r="AL1151" s="242"/>
      <c r="AM1151" s="222"/>
      <c r="AN1151" s="266"/>
      <c r="AO1151" s="266"/>
      <c r="AV1151" s="242"/>
      <c r="AW1151" s="242"/>
      <c r="AX1151" s="242"/>
      <c r="AY1151" s="242" t="s">
        <v>326</v>
      </c>
      <c r="AZ1151" s="242"/>
      <c r="BA1151" s="242"/>
      <c r="BB1151" s="242"/>
      <c r="BC1151" s="242"/>
    </row>
    <row r="1152" spans="1:55" s="231" customFormat="1">
      <c r="B1152" s="46"/>
      <c r="C1152" s="46"/>
      <c r="D1152" s="46"/>
      <c r="F1152" s="568" t="s">
        <v>327</v>
      </c>
      <c r="G1152" s="568"/>
      <c r="H1152" s="568"/>
      <c r="I1152" s="568"/>
      <c r="J1152" s="568"/>
      <c r="K1152" s="568"/>
      <c r="L1152" s="568"/>
      <c r="M1152" s="568"/>
      <c r="N1152" s="568"/>
      <c r="O1152" s="568"/>
      <c r="P1152" s="568"/>
      <c r="Q1152" s="568"/>
      <c r="R1152" s="568"/>
      <c r="S1152" s="568"/>
      <c r="T1152" s="568"/>
      <c r="U1152" s="568"/>
      <c r="V1152" s="568"/>
      <c r="W1152" s="568"/>
      <c r="X1152" s="568"/>
      <c r="Y1152" s="568"/>
      <c r="AG1152" s="566" t="s">
        <v>24</v>
      </c>
      <c r="AH1152" s="566"/>
      <c r="AI1152" s="566"/>
      <c r="AJ1152" s="566"/>
      <c r="AK1152" s="566"/>
      <c r="AM1152" s="222"/>
      <c r="AN1152" s="266"/>
      <c r="AO1152" s="266"/>
      <c r="AV1152" s="242"/>
      <c r="AW1152" s="242" t="s">
        <v>328</v>
      </c>
      <c r="AX1152" s="242"/>
      <c r="AY1152" s="242"/>
      <c r="AZ1152" s="242"/>
      <c r="BA1152" s="242"/>
      <c r="BB1152" s="242"/>
      <c r="BC1152" s="242"/>
    </row>
    <row r="1153" spans="1:55" s="231" customFormat="1">
      <c r="B1153" s="46"/>
      <c r="C1153" s="46"/>
      <c r="D1153" s="46"/>
      <c r="F1153" s="568" t="s">
        <v>296</v>
      </c>
      <c r="G1153" s="568"/>
      <c r="H1153" s="568"/>
      <c r="I1153" s="568"/>
      <c r="J1153" s="568"/>
      <c r="K1153" s="568"/>
      <c r="L1153" s="568"/>
      <c r="M1153" s="568"/>
      <c r="N1153" s="568"/>
      <c r="O1153" s="568"/>
      <c r="P1153" s="568"/>
      <c r="Q1153" s="568"/>
      <c r="R1153" s="568"/>
      <c r="S1153" s="568"/>
      <c r="T1153" s="568"/>
      <c r="U1153" s="568"/>
      <c r="V1153" s="568"/>
      <c r="W1153" s="568"/>
      <c r="X1153" s="568"/>
      <c r="Y1153" s="568"/>
      <c r="AG1153" s="674">
        <f ca="1">SUBTOTAL(9,AG1150:AK1153)</f>
        <v>7.9774099999999999</v>
      </c>
      <c r="AH1153" s="674"/>
      <c r="AI1153" s="674"/>
      <c r="AJ1153" s="674"/>
      <c r="AK1153" s="674"/>
      <c r="AM1153" s="222"/>
      <c r="AN1153" s="266"/>
      <c r="AO1153" s="266"/>
      <c r="AV1153" s="242"/>
      <c r="AW1153" s="242" t="s">
        <v>329</v>
      </c>
      <c r="AX1153" s="242" t="s">
        <v>330</v>
      </c>
      <c r="AY1153" s="242" t="s">
        <v>331</v>
      </c>
      <c r="AZ1153" s="242" t="s">
        <v>332</v>
      </c>
      <c r="BA1153" s="242" t="s">
        <v>333</v>
      </c>
      <c r="BB1153" s="242" t="s">
        <v>334</v>
      </c>
      <c r="BC1153" s="242" t="s">
        <v>335</v>
      </c>
    </row>
    <row r="1154" spans="1:55" s="231" customFormat="1" ht="13.5" thickBot="1">
      <c r="B1154" s="46"/>
      <c r="C1154" s="46"/>
      <c r="D1154" s="46"/>
      <c r="AG1154" s="675">
        <f ca="1">AG1148+AG1153+0.2</f>
        <v>8.1774100000000001</v>
      </c>
      <c r="AH1154" s="675"/>
      <c r="AI1154" s="675"/>
      <c r="AJ1154" s="675"/>
      <c r="AK1154" s="675"/>
      <c r="AM1154" s="240"/>
    </row>
    <row r="1155" spans="1:55" s="231" customFormat="1" ht="13.5" thickTop="1">
      <c r="B1155" s="3"/>
      <c r="C1155" s="3"/>
      <c r="D1155" s="3"/>
      <c r="AG1155" s="297"/>
      <c r="AH1155" s="297"/>
      <c r="AI1155" s="297"/>
      <c r="AJ1155" s="297"/>
      <c r="AK1155" s="297"/>
      <c r="AM1155" s="297"/>
    </row>
    <row r="1156" spans="1:55" s="231" customFormat="1">
      <c r="B1156" s="3"/>
      <c r="C1156" s="3"/>
      <c r="D1156" s="3"/>
      <c r="AG1156" s="297"/>
      <c r="AH1156" s="297"/>
      <c r="AI1156" s="297"/>
      <c r="AJ1156" s="297"/>
      <c r="AK1156" s="297"/>
      <c r="AM1156" s="297"/>
    </row>
    <row r="1157" spans="1:55" s="231" customFormat="1">
      <c r="B1157" s="3"/>
      <c r="C1157" s="3"/>
      <c r="D1157" s="3"/>
      <c r="AG1157" s="297"/>
      <c r="AH1157" s="297"/>
      <c r="AI1157" s="297"/>
      <c r="AJ1157" s="297"/>
      <c r="AK1157" s="297"/>
      <c r="AM1157" s="297"/>
    </row>
    <row r="1158" spans="1:55" s="298" customFormat="1">
      <c r="A1158" s="66"/>
      <c r="B1158" s="66"/>
      <c r="C1158" s="67"/>
      <c r="D1158" s="66"/>
      <c r="F1158" s="253"/>
      <c r="G1158" s="253"/>
      <c r="H1158" s="253"/>
      <c r="I1158" s="253"/>
      <c r="J1158" s="253"/>
      <c r="K1158" s="253"/>
      <c r="L1158" s="253"/>
      <c r="M1158" s="253"/>
      <c r="N1158" s="253"/>
      <c r="O1158" s="253"/>
      <c r="P1158" s="253"/>
      <c r="Q1158" s="253"/>
      <c r="R1158" s="253"/>
      <c r="S1158" s="253"/>
      <c r="T1158" s="253"/>
      <c r="U1158" s="253"/>
      <c r="V1158" s="253"/>
      <c r="W1158" s="253"/>
      <c r="X1158" s="253"/>
      <c r="Y1158" s="253"/>
      <c r="Z1158" s="253"/>
      <c r="AA1158" s="253"/>
      <c r="AB1158" s="253"/>
      <c r="AC1158" s="253"/>
      <c r="AD1158" s="253"/>
      <c r="AE1158" s="253"/>
      <c r="AF1158" s="253"/>
      <c r="AG1158" s="253"/>
      <c r="AH1158" s="253"/>
      <c r="AI1158" s="253"/>
      <c r="AJ1158" s="253"/>
      <c r="AK1158" s="253"/>
      <c r="AL1158" s="253"/>
      <c r="AM1158" s="253"/>
    </row>
    <row r="1159" spans="1:55" s="231" customFormat="1">
      <c r="A1159" s="1"/>
      <c r="B1159" s="1"/>
      <c r="C1159" s="2"/>
      <c r="D1159" s="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12" t="s">
        <v>24</v>
      </c>
      <c r="AK1159" s="676">
        <f>AK1082+1</f>
        <v>18</v>
      </c>
      <c r="AL1159" s="676"/>
      <c r="AM1159" s="112" t="s">
        <v>24</v>
      </c>
    </row>
    <row r="1160" spans="1:55" s="361" customFormat="1">
      <c r="A1160" s="1"/>
      <c r="B1160" s="1"/>
      <c r="C1160" s="2"/>
      <c r="D1160" s="1"/>
      <c r="E1160" s="366"/>
      <c r="F1160" s="366"/>
      <c r="G1160" s="366"/>
      <c r="H1160" s="366"/>
      <c r="I1160" s="366"/>
      <c r="J1160" s="366"/>
      <c r="K1160" s="366"/>
      <c r="L1160" s="366"/>
      <c r="M1160" s="366"/>
      <c r="N1160" s="366"/>
      <c r="O1160" s="366"/>
      <c r="P1160" s="366"/>
      <c r="Q1160" s="366"/>
      <c r="R1160" s="366"/>
      <c r="S1160" s="366"/>
      <c r="T1160" s="366"/>
      <c r="U1160" s="366"/>
      <c r="V1160" s="366"/>
      <c r="W1160" s="366"/>
      <c r="X1160" s="366"/>
      <c r="Y1160" s="366"/>
      <c r="Z1160" s="366"/>
      <c r="AA1160" s="366"/>
      <c r="AB1160" s="366"/>
      <c r="AC1160" s="366"/>
      <c r="AD1160" s="366"/>
      <c r="AE1160" s="366"/>
      <c r="AF1160" s="366"/>
      <c r="AG1160" s="366"/>
      <c r="AH1160" s="366"/>
      <c r="AI1160" s="366"/>
      <c r="AJ1160" s="362"/>
      <c r="AK1160" s="362"/>
      <c r="AL1160" s="362"/>
      <c r="AM1160" s="362"/>
    </row>
    <row r="1161" spans="1:55" s="382" customFormat="1">
      <c r="A1161" s="1"/>
      <c r="B1161" s="1"/>
      <c r="C1161" s="2"/>
      <c r="D1161" s="1"/>
      <c r="E1161" s="387"/>
      <c r="F1161" s="387"/>
      <c r="G1161" s="387"/>
      <c r="H1161" s="387"/>
      <c r="I1161" s="387"/>
      <c r="J1161" s="387"/>
      <c r="K1161" s="387"/>
      <c r="L1161" s="387"/>
      <c r="M1161" s="387"/>
      <c r="N1161" s="387"/>
      <c r="O1161" s="387"/>
      <c r="P1161" s="387"/>
      <c r="Q1161" s="387"/>
      <c r="R1161" s="387"/>
      <c r="S1161" s="387"/>
      <c r="T1161" s="387"/>
      <c r="U1161" s="387"/>
      <c r="V1161" s="387"/>
      <c r="W1161" s="387"/>
      <c r="X1161" s="387"/>
      <c r="Y1161" s="387"/>
      <c r="Z1161" s="387"/>
      <c r="AA1161" s="387"/>
      <c r="AB1161" s="387"/>
      <c r="AC1161" s="387"/>
      <c r="AD1161" s="387"/>
      <c r="AE1161" s="387"/>
      <c r="AF1161" s="387"/>
      <c r="AG1161" s="387"/>
      <c r="AH1161" s="387"/>
      <c r="AI1161" s="387"/>
      <c r="AJ1161" s="383"/>
      <c r="AK1161" s="383"/>
      <c r="AL1161" s="383"/>
      <c r="AM1161" s="383"/>
    </row>
    <row r="1162" spans="1:55" s="361" customFormat="1">
      <c r="A1162" s="1"/>
      <c r="B1162" s="1"/>
      <c r="C1162" s="2"/>
      <c r="D1162" s="1"/>
      <c r="E1162" s="366"/>
      <c r="F1162" s="366"/>
      <c r="G1162" s="366"/>
      <c r="H1162" s="366"/>
      <c r="I1162" s="366"/>
      <c r="J1162" s="366"/>
      <c r="K1162" s="366"/>
      <c r="L1162" s="366"/>
      <c r="M1162" s="366"/>
      <c r="N1162" s="366"/>
      <c r="O1162" s="366"/>
      <c r="P1162" s="366"/>
      <c r="Q1162" s="366"/>
      <c r="R1162" s="366"/>
      <c r="S1162" s="366"/>
      <c r="T1162" s="366"/>
      <c r="U1162" s="366"/>
      <c r="V1162" s="366"/>
      <c r="W1162" s="366"/>
      <c r="X1162" s="366"/>
      <c r="Y1162" s="366"/>
      <c r="Z1162" s="366"/>
      <c r="AA1162" s="366"/>
      <c r="AB1162" s="366"/>
      <c r="AC1162" s="366"/>
      <c r="AD1162" s="366"/>
      <c r="AE1162" s="366"/>
      <c r="AF1162" s="366"/>
      <c r="AG1162" s="366"/>
      <c r="AH1162" s="366"/>
      <c r="AI1162" s="366"/>
      <c r="AJ1162" s="362"/>
      <c r="AK1162" s="362"/>
      <c r="AL1162" s="362"/>
      <c r="AM1162" s="362"/>
    </row>
    <row r="1163" spans="1:55" s="231" customFormat="1">
      <c r="A1163" s="1"/>
      <c r="B1163" s="1"/>
      <c r="C1163" s="2"/>
      <c r="D1163" s="1"/>
      <c r="E1163" s="265" t="str">
        <f>UPPER($Y$28)</f>
        <v>ПТ ЛОМБАРД "МЕРКУРІЙ"</v>
      </c>
      <c r="F1163" s="265"/>
      <c r="G1163" s="265"/>
      <c r="H1163" s="265"/>
      <c r="I1163" s="265"/>
      <c r="J1163" s="265"/>
      <c r="K1163" s="265"/>
      <c r="L1163" s="265"/>
      <c r="M1163" s="265"/>
      <c r="N1163" s="265"/>
      <c r="O1163" s="265"/>
      <c r="P1163" s="265"/>
      <c r="Q1163" s="265"/>
      <c r="R1163" s="265"/>
      <c r="S1163" s="265"/>
      <c r="T1163" s="265"/>
      <c r="U1163" s="265"/>
      <c r="V1163" s="265"/>
      <c r="W1163" s="265"/>
      <c r="X1163" s="265"/>
      <c r="Y1163" s="265"/>
      <c r="Z1163" s="265"/>
      <c r="AA1163" s="265"/>
      <c r="AB1163" s="265"/>
      <c r="AC1163" s="265"/>
      <c r="AD1163" s="265"/>
      <c r="AE1163" s="265"/>
      <c r="AF1163" s="265"/>
      <c r="AG1163" s="265"/>
      <c r="AH1163" s="265"/>
      <c r="AI1163" s="265"/>
      <c r="AJ1163" s="265"/>
      <c r="AK1163" s="265"/>
      <c r="AL1163" s="265"/>
      <c r="AM1163" s="265"/>
    </row>
    <row r="1164" spans="1:55" s="231" customFormat="1">
      <c r="A1164" s="1"/>
      <c r="B1164" s="1"/>
      <c r="C1164" s="2"/>
      <c r="D1164" s="1"/>
      <c r="E1164" s="269" t="s">
        <v>143</v>
      </c>
      <c r="F1164" s="269"/>
      <c r="G1164" s="269"/>
      <c r="H1164" s="269"/>
      <c r="I1164" s="269"/>
      <c r="J1164" s="269"/>
      <c r="K1164" s="269"/>
      <c r="L1164" s="269"/>
      <c r="M1164" s="269"/>
      <c r="N1164" s="269"/>
      <c r="O1164" s="269"/>
      <c r="P1164" s="269"/>
      <c r="Q1164" s="269"/>
      <c r="R1164" s="269"/>
      <c r="S1164" s="269"/>
      <c r="T1164" s="269"/>
      <c r="U1164" s="269"/>
      <c r="V1164" s="269"/>
      <c r="W1164" s="269"/>
      <c r="X1164" s="269"/>
      <c r="Y1164" s="269"/>
      <c r="Z1164" s="269"/>
      <c r="AA1164" s="269"/>
      <c r="AB1164" s="269"/>
      <c r="AC1164" s="269"/>
      <c r="AD1164" s="269"/>
      <c r="AE1164" s="269"/>
      <c r="AF1164" s="269"/>
      <c r="AG1164" s="269"/>
      <c r="AH1164" s="269"/>
      <c r="AI1164" s="269"/>
      <c r="AJ1164" s="269"/>
      <c r="AK1164" s="269"/>
      <c r="AL1164" s="269"/>
      <c r="AM1164" s="269"/>
    </row>
    <row r="1165" spans="1:55" s="231" customFormat="1">
      <c r="A1165" s="1"/>
      <c r="B1165" s="1"/>
      <c r="C1165" s="2"/>
      <c r="D1165" s="1"/>
      <c r="E1165" s="269" t="str">
        <f>$E$274</f>
        <v>ЗА РІК, ЩО ЗАКІНЧИВСЯ 31 ГРУДНЯ 2020 РОКУ</v>
      </c>
      <c r="F1165" s="269"/>
      <c r="G1165" s="269"/>
      <c r="H1165" s="269"/>
      <c r="I1165" s="269"/>
      <c r="J1165" s="269"/>
      <c r="K1165" s="269"/>
      <c r="L1165" s="269"/>
      <c r="M1165" s="269"/>
      <c r="N1165" s="269"/>
      <c r="O1165" s="269"/>
      <c r="P1165" s="269"/>
      <c r="Q1165" s="269"/>
      <c r="R1165" s="269"/>
      <c r="S1165" s="269"/>
      <c r="T1165" s="269"/>
      <c r="U1165" s="269"/>
      <c r="V1165" s="269"/>
      <c r="W1165" s="269"/>
      <c r="X1165" s="269"/>
      <c r="Y1165" s="269"/>
      <c r="Z1165" s="269"/>
      <c r="AA1165" s="269"/>
      <c r="AB1165" s="269"/>
      <c r="AC1165" s="269"/>
      <c r="AD1165" s="269"/>
      <c r="AE1165" s="269"/>
      <c r="AF1165" s="269"/>
      <c r="AG1165" s="269"/>
      <c r="AH1165" s="269"/>
      <c r="AI1165" s="269"/>
      <c r="AJ1165" s="269"/>
      <c r="AK1165" s="269"/>
      <c r="AL1165" s="269"/>
      <c r="AM1165" s="269"/>
    </row>
    <row r="1166" spans="1:55" s="231" customFormat="1">
      <c r="A1166" s="1"/>
      <c r="B1166" s="1"/>
      <c r="C1166" s="2"/>
      <c r="D1166" s="1"/>
      <c r="E1166" s="244" t="str">
        <f>$E$209</f>
        <v>(в тисячах гривень, якщо не вказано інше)</v>
      </c>
      <c r="F1166" s="244"/>
      <c r="G1166" s="244"/>
      <c r="H1166" s="244"/>
      <c r="I1166" s="244"/>
      <c r="J1166" s="244"/>
      <c r="K1166" s="244"/>
      <c r="L1166" s="244"/>
      <c r="M1166" s="244"/>
      <c r="N1166" s="244"/>
      <c r="O1166" s="244"/>
      <c r="P1166" s="244"/>
      <c r="Q1166" s="244"/>
      <c r="R1166" s="244"/>
      <c r="S1166" s="244"/>
      <c r="T1166" s="244"/>
      <c r="U1166" s="244"/>
      <c r="V1166" s="244"/>
      <c r="W1166" s="244"/>
      <c r="X1166" s="244"/>
      <c r="Y1166" s="244"/>
      <c r="Z1166" s="244"/>
      <c r="AA1166" s="244"/>
      <c r="AB1166" s="244"/>
      <c r="AC1166" s="244"/>
      <c r="AD1166" s="244"/>
      <c r="AE1166" s="244"/>
      <c r="AF1166" s="244"/>
      <c r="AG1166" s="244"/>
      <c r="AH1166" s="244"/>
      <c r="AI1166" s="244"/>
      <c r="AJ1166" s="244"/>
      <c r="AK1166" s="244"/>
      <c r="AL1166" s="244"/>
      <c r="AM1166" s="244"/>
    </row>
    <row r="1167" spans="1:55" s="231" customFormat="1">
      <c r="A1167" s="1"/>
      <c r="B1167" s="1"/>
      <c r="C1167" s="2"/>
      <c r="D1167" s="1"/>
      <c r="E1167" s="265"/>
      <c r="F1167" s="265"/>
      <c r="G1167" s="265"/>
      <c r="H1167" s="265"/>
      <c r="I1167" s="265"/>
      <c r="J1167" s="265"/>
      <c r="K1167" s="265"/>
      <c r="L1167" s="265"/>
      <c r="M1167" s="265"/>
      <c r="N1167" s="265"/>
      <c r="O1167" s="265"/>
      <c r="P1167" s="265"/>
      <c r="Q1167" s="265"/>
      <c r="R1167" s="265"/>
      <c r="S1167" s="265"/>
      <c r="T1167" s="265"/>
      <c r="U1167" s="265"/>
      <c r="V1167" s="265"/>
      <c r="W1167" s="265"/>
      <c r="X1167" s="265"/>
      <c r="Y1167" s="265"/>
      <c r="Z1167" s="265"/>
      <c r="AA1167" s="265"/>
      <c r="AB1167" s="265"/>
      <c r="AC1167" s="265"/>
      <c r="AD1167" s="265"/>
      <c r="AE1167" s="265"/>
      <c r="AF1167" s="265"/>
      <c r="AG1167" s="265"/>
      <c r="AH1167" s="265"/>
      <c r="AI1167" s="265"/>
      <c r="AJ1167" s="265"/>
      <c r="AK1167" s="265"/>
      <c r="AL1167" s="265"/>
      <c r="AM1167" s="265"/>
    </row>
    <row r="1168" spans="1:55" s="231" customFormat="1">
      <c r="A1168" s="1"/>
      <c r="B1168" s="1"/>
      <c r="C1168" s="2"/>
      <c r="D1168" s="1"/>
      <c r="E1168" s="265"/>
      <c r="F1168" s="676" t="s">
        <v>1463</v>
      </c>
      <c r="G1168" s="676"/>
      <c r="H1168" s="676"/>
      <c r="I1168" s="687" t="s">
        <v>336</v>
      </c>
      <c r="J1168" s="687"/>
      <c r="K1168" s="687"/>
      <c r="L1168" s="687"/>
      <c r="M1168" s="687"/>
      <c r="N1168" s="687"/>
      <c r="O1168" s="687"/>
      <c r="P1168" s="687"/>
      <c r="Q1168" s="687"/>
      <c r="R1168" s="687"/>
      <c r="S1168" s="687"/>
      <c r="T1168" s="687"/>
      <c r="U1168" s="687"/>
      <c r="V1168" s="687"/>
      <c r="W1168" s="687"/>
      <c r="X1168" s="687"/>
      <c r="Y1168" s="687"/>
      <c r="Z1168" s="687"/>
      <c r="AA1168" s="687"/>
      <c r="AB1168" s="687"/>
      <c r="AC1168" s="687"/>
      <c r="AD1168" s="687"/>
      <c r="AE1168" s="687"/>
      <c r="AF1168" s="687"/>
      <c r="AG1168" s="687"/>
      <c r="AH1168" s="687"/>
      <c r="AI1168" s="687"/>
      <c r="AJ1168" s="687"/>
      <c r="AK1168" s="687"/>
      <c r="AL1168" s="687"/>
      <c r="AM1168" s="265"/>
    </row>
    <row r="1169" spans="1:52" s="231" customFormat="1">
      <c r="A1169" s="1"/>
      <c r="B1169" s="1"/>
      <c r="C1169" s="2"/>
      <c r="D1169" s="1"/>
      <c r="E1169" s="265"/>
      <c r="F1169" s="265"/>
      <c r="G1169" s="265"/>
      <c r="H1169" s="265"/>
      <c r="I1169" s="265"/>
      <c r="J1169" s="265"/>
      <c r="K1169" s="265"/>
      <c r="L1169" s="265"/>
      <c r="M1169" s="265"/>
      <c r="N1169" s="265"/>
      <c r="O1169" s="265"/>
      <c r="P1169" s="265"/>
      <c r="Q1169" s="265"/>
      <c r="R1169" s="265"/>
      <c r="S1169" s="265"/>
      <c r="T1169" s="265"/>
      <c r="U1169" s="265"/>
      <c r="V1169" s="265"/>
      <c r="W1169" s="265"/>
      <c r="X1169" s="265"/>
      <c r="Y1169" s="265"/>
      <c r="Z1169" s="265"/>
      <c r="AA1169" s="265"/>
      <c r="AB1169" s="265"/>
      <c r="AC1169" s="265"/>
      <c r="AD1169" s="265"/>
      <c r="AE1169" s="265"/>
      <c r="AF1169" s="265"/>
      <c r="AG1169" s="265"/>
      <c r="AH1169" s="265"/>
      <c r="AI1169" s="265"/>
      <c r="AJ1169" s="265"/>
      <c r="AK1169" s="265"/>
      <c r="AL1169" s="265"/>
      <c r="AM1169" s="265"/>
    </row>
    <row r="1170" spans="1:52" s="231" customFormat="1">
      <c r="A1170" s="1"/>
      <c r="B1170" s="1"/>
      <c r="C1170" s="2"/>
      <c r="D1170" s="1"/>
      <c r="E1170" s="265"/>
      <c r="F1170" s="302" t="s">
        <v>1647</v>
      </c>
      <c r="G1170" s="265"/>
      <c r="H1170" s="265"/>
      <c r="I1170" s="265"/>
      <c r="J1170" s="265"/>
      <c r="K1170" s="265"/>
      <c r="L1170" s="265"/>
      <c r="M1170" s="265"/>
      <c r="N1170" s="265"/>
      <c r="O1170" s="265"/>
      <c r="P1170" s="265"/>
      <c r="Q1170" s="265"/>
      <c r="R1170" s="265"/>
      <c r="S1170" s="265"/>
      <c r="T1170" s="265"/>
      <c r="U1170" s="265"/>
      <c r="V1170" s="265"/>
      <c r="W1170" s="265"/>
      <c r="X1170" s="265"/>
      <c r="Y1170" s="265"/>
      <c r="Z1170" s="265"/>
      <c r="AA1170" s="265"/>
      <c r="AB1170" s="265"/>
      <c r="AC1170" s="265"/>
      <c r="AD1170" s="265"/>
      <c r="AE1170" s="265"/>
      <c r="AF1170" s="265"/>
      <c r="AG1170" s="265"/>
      <c r="AH1170" s="265"/>
      <c r="AI1170" s="265"/>
      <c r="AJ1170" s="265"/>
      <c r="AK1170" s="265"/>
      <c r="AL1170" s="265"/>
      <c r="AM1170" s="265"/>
    </row>
    <row r="1171" spans="1:52" s="231" customFormat="1">
      <c r="A1171" s="1"/>
      <c r="B1171" s="1"/>
      <c r="C1171" s="2"/>
      <c r="D1171" s="1"/>
      <c r="E1171" s="265"/>
      <c r="F1171" s="265"/>
      <c r="G1171" s="265"/>
      <c r="H1171" s="265"/>
      <c r="I1171" s="265"/>
      <c r="J1171" s="265"/>
      <c r="K1171" s="265"/>
      <c r="L1171" s="265"/>
      <c r="M1171" s="265"/>
      <c r="N1171" s="265"/>
      <c r="O1171" s="265"/>
      <c r="P1171" s="265"/>
      <c r="Q1171" s="265"/>
      <c r="R1171" s="265"/>
      <c r="S1171" s="265"/>
      <c r="T1171" s="265"/>
      <c r="U1171" s="265"/>
      <c r="V1171" s="265"/>
      <c r="W1171" s="265"/>
      <c r="X1171" s="265"/>
      <c r="Y1171" s="265"/>
      <c r="Z1171" s="265"/>
      <c r="AA1171" s="265"/>
      <c r="AB1171" s="265"/>
      <c r="AC1171" s="265"/>
      <c r="AD1171" s="265"/>
      <c r="AE1171" s="265"/>
      <c r="AF1171" s="265"/>
      <c r="AG1171" s="265"/>
      <c r="AH1171" s="265"/>
      <c r="AI1171" s="265"/>
      <c r="AJ1171" s="265"/>
      <c r="AK1171" s="265"/>
      <c r="AL1171" s="265"/>
      <c r="AM1171" s="265"/>
    </row>
    <row r="1172" spans="1:52" s="231" customFormat="1" ht="15" customHeight="1">
      <c r="A1172" s="1"/>
      <c r="B1172" s="1"/>
      <c r="C1172" s="2"/>
      <c r="D1172" s="1"/>
      <c r="E1172" s="265"/>
      <c r="F1172" s="763" t="s">
        <v>1648</v>
      </c>
      <c r="G1172" s="763"/>
      <c r="H1172" s="763"/>
      <c r="I1172" s="763"/>
      <c r="J1172" s="763"/>
      <c r="K1172" s="763"/>
      <c r="L1172" s="763"/>
      <c r="M1172" s="763"/>
      <c r="N1172" s="763"/>
      <c r="O1172" s="763"/>
      <c r="P1172" s="763"/>
      <c r="Q1172" s="763"/>
      <c r="R1172" s="763"/>
      <c r="S1172" s="763"/>
      <c r="T1172" s="763"/>
      <c r="U1172" s="763"/>
      <c r="V1172" s="763"/>
      <c r="W1172" s="763"/>
      <c r="X1172" s="763"/>
      <c r="Y1172" s="763"/>
      <c r="Z1172" s="763"/>
      <c r="AA1172" s="763"/>
      <c r="AB1172" s="763"/>
      <c r="AC1172" s="763"/>
      <c r="AD1172" s="763"/>
      <c r="AE1172" s="763"/>
      <c r="AF1172" s="763"/>
      <c r="AG1172" s="763"/>
      <c r="AH1172" s="763"/>
      <c r="AI1172" s="763"/>
      <c r="AJ1172" s="763"/>
      <c r="AK1172" s="763"/>
      <c r="AL1172" s="763"/>
      <c r="AM1172" s="299"/>
    </row>
    <row r="1173" spans="1:52" s="231" customFormat="1" ht="14.1" customHeight="1">
      <c r="A1173" s="1"/>
      <c r="B1173" s="1"/>
      <c r="C1173" s="2"/>
      <c r="D1173" s="1"/>
      <c r="E1173" s="265"/>
      <c r="F1173" s="763"/>
      <c r="G1173" s="763"/>
      <c r="H1173" s="763"/>
      <c r="I1173" s="763"/>
      <c r="J1173" s="763"/>
      <c r="K1173" s="763"/>
      <c r="L1173" s="763"/>
      <c r="M1173" s="763"/>
      <c r="N1173" s="763"/>
      <c r="O1173" s="763"/>
      <c r="P1173" s="763"/>
      <c r="Q1173" s="763"/>
      <c r="R1173" s="763"/>
      <c r="S1173" s="763"/>
      <c r="T1173" s="763"/>
      <c r="U1173" s="763"/>
      <c r="V1173" s="763"/>
      <c r="W1173" s="763"/>
      <c r="X1173" s="763"/>
      <c r="Y1173" s="763"/>
      <c r="Z1173" s="763"/>
      <c r="AA1173" s="763"/>
      <c r="AB1173" s="763"/>
      <c r="AC1173" s="763"/>
      <c r="AD1173" s="763"/>
      <c r="AE1173" s="763"/>
      <c r="AF1173" s="763"/>
      <c r="AG1173" s="763"/>
      <c r="AH1173" s="763"/>
      <c r="AI1173" s="763"/>
      <c r="AJ1173" s="763"/>
      <c r="AK1173" s="763"/>
      <c r="AL1173" s="763"/>
      <c r="AM1173" s="251"/>
    </row>
    <row r="1174" spans="1:52" s="231" customFormat="1">
      <c r="A1174" s="1"/>
      <c r="B1174" s="1"/>
      <c r="C1174" s="2"/>
      <c r="D1174" s="1"/>
      <c r="E1174" s="265"/>
      <c r="F1174" s="763"/>
      <c r="G1174" s="763"/>
      <c r="H1174" s="763"/>
      <c r="I1174" s="763"/>
      <c r="J1174" s="763"/>
      <c r="K1174" s="763"/>
      <c r="L1174" s="763"/>
      <c r="M1174" s="763"/>
      <c r="N1174" s="763"/>
      <c r="O1174" s="763"/>
      <c r="P1174" s="763"/>
      <c r="Q1174" s="763"/>
      <c r="R1174" s="763"/>
      <c r="S1174" s="763"/>
      <c r="T1174" s="763"/>
      <c r="U1174" s="763"/>
      <c r="V1174" s="763"/>
      <c r="W1174" s="763"/>
      <c r="X1174" s="763"/>
      <c r="Y1174" s="763"/>
      <c r="Z1174" s="763"/>
      <c r="AA1174" s="763"/>
      <c r="AB1174" s="763"/>
      <c r="AC1174" s="763"/>
      <c r="AD1174" s="763"/>
      <c r="AE1174" s="763"/>
      <c r="AF1174" s="763"/>
      <c r="AG1174" s="763"/>
      <c r="AH1174" s="763"/>
      <c r="AI1174" s="763"/>
      <c r="AJ1174" s="763"/>
      <c r="AK1174" s="763"/>
      <c r="AL1174" s="763"/>
      <c r="AM1174" s="251"/>
    </row>
    <row r="1175" spans="1:52" s="231" customFormat="1">
      <c r="A1175" s="1"/>
      <c r="B1175" s="1"/>
      <c r="C1175" s="2"/>
      <c r="D1175" s="1"/>
      <c r="E1175" s="246"/>
      <c r="F1175" s="246"/>
      <c r="G1175" s="246"/>
      <c r="H1175" s="246"/>
      <c r="I1175" s="246"/>
      <c r="J1175" s="246"/>
      <c r="K1175" s="246"/>
      <c r="L1175" s="246"/>
      <c r="M1175" s="246"/>
      <c r="N1175" s="246"/>
      <c r="O1175" s="246"/>
      <c r="P1175" s="246"/>
      <c r="Q1175" s="246"/>
      <c r="R1175" s="246"/>
      <c r="S1175" s="246"/>
      <c r="T1175" s="246"/>
      <c r="U1175" s="246"/>
      <c r="V1175" s="246"/>
      <c r="W1175" s="246"/>
      <c r="X1175" s="246"/>
      <c r="Y1175" s="246"/>
      <c r="Z1175" s="246"/>
      <c r="AA1175" s="246"/>
      <c r="AB1175" s="246"/>
      <c r="AC1175" s="246"/>
      <c r="AD1175" s="246"/>
      <c r="AE1175" s="246"/>
      <c r="AF1175" s="246"/>
      <c r="AG1175" s="246"/>
      <c r="AH1175" s="246"/>
      <c r="AI1175" s="246"/>
      <c r="AJ1175" s="246"/>
      <c r="AK1175" s="246"/>
      <c r="AL1175" s="246"/>
      <c r="AM1175" s="246"/>
    </row>
    <row r="1176" spans="1:52" s="231" customFormat="1">
      <c r="B1176" s="3"/>
      <c r="C1176" s="3"/>
      <c r="D1176" s="3"/>
      <c r="F1176" s="669" t="s">
        <v>8</v>
      </c>
      <c r="G1176" s="669"/>
      <c r="H1176" s="268" t="s">
        <v>337</v>
      </c>
      <c r="I1176" s="268"/>
      <c r="J1176" s="268"/>
      <c r="K1176" s="268"/>
      <c r="L1176" s="268"/>
      <c r="M1176" s="268"/>
      <c r="N1176" s="268"/>
      <c r="O1176" s="268"/>
      <c r="P1176" s="268"/>
      <c r="Q1176" s="268"/>
      <c r="R1176" s="268"/>
      <c r="S1176" s="268"/>
      <c r="T1176" s="268"/>
      <c r="U1176" s="268"/>
      <c r="V1176" s="268"/>
      <c r="W1176" s="268"/>
      <c r="X1176" s="268"/>
      <c r="Y1176" s="268"/>
      <c r="Z1176" s="268"/>
      <c r="AA1176" s="268"/>
      <c r="AB1176" s="268"/>
      <c r="AC1176" s="268"/>
      <c r="AD1176" s="268"/>
      <c r="AE1176" s="268"/>
      <c r="AF1176" s="268"/>
      <c r="AG1176" s="268"/>
      <c r="AH1176" s="268"/>
      <c r="AI1176" s="268"/>
      <c r="AJ1176" s="268"/>
      <c r="AK1176" s="268"/>
      <c r="AL1176" s="268"/>
      <c r="AM1176" s="268"/>
    </row>
    <row r="1177" spans="1:52" s="231" customFormat="1">
      <c r="A1177" s="1"/>
      <c r="B1177" s="1"/>
      <c r="C1177" s="2"/>
      <c r="D1177" s="1"/>
    </row>
    <row r="1178" spans="1:52" s="231" customFormat="1" ht="14.1" customHeight="1">
      <c r="B1178" s="3"/>
      <c r="C1178" s="3"/>
      <c r="D1178" s="3"/>
      <c r="F1178" s="569" t="s">
        <v>1649</v>
      </c>
      <c r="G1178" s="569"/>
      <c r="H1178" s="569"/>
      <c r="I1178" s="569"/>
      <c r="J1178" s="569"/>
      <c r="K1178" s="569"/>
      <c r="L1178" s="569"/>
      <c r="M1178" s="569"/>
      <c r="N1178" s="569"/>
      <c r="O1178" s="569"/>
      <c r="P1178" s="569"/>
      <c r="Q1178" s="569"/>
      <c r="R1178" s="569"/>
      <c r="S1178" s="569"/>
      <c r="T1178" s="569"/>
      <c r="U1178" s="569"/>
      <c r="V1178" s="569"/>
      <c r="W1178" s="569"/>
      <c r="X1178" s="569"/>
      <c r="Y1178" s="569"/>
      <c r="Z1178" s="569"/>
      <c r="AA1178" s="569"/>
      <c r="AB1178" s="569"/>
      <c r="AC1178" s="569"/>
      <c r="AD1178" s="569"/>
      <c r="AE1178" s="569"/>
      <c r="AF1178" s="569"/>
      <c r="AG1178" s="569"/>
      <c r="AH1178" s="569"/>
      <c r="AI1178" s="569"/>
      <c r="AJ1178" s="569"/>
      <c r="AK1178" s="569"/>
      <c r="AL1178" s="569"/>
      <c r="AM1178" s="249"/>
    </row>
    <row r="1179" spans="1:52" s="231" customFormat="1" ht="14.1" customHeight="1">
      <c r="B1179" s="3"/>
      <c r="C1179" s="3"/>
      <c r="D1179" s="3"/>
      <c r="F1179" s="569"/>
      <c r="G1179" s="569"/>
      <c r="H1179" s="569"/>
      <c r="I1179" s="569"/>
      <c r="J1179" s="569"/>
      <c r="K1179" s="569"/>
      <c r="L1179" s="569"/>
      <c r="M1179" s="569"/>
      <c r="N1179" s="569"/>
      <c r="O1179" s="569"/>
      <c r="P1179" s="569"/>
      <c r="Q1179" s="569"/>
      <c r="R1179" s="569"/>
      <c r="S1179" s="569"/>
      <c r="T1179" s="569"/>
      <c r="U1179" s="569"/>
      <c r="V1179" s="569"/>
      <c r="W1179" s="569"/>
      <c r="X1179" s="569"/>
      <c r="Y1179" s="569"/>
      <c r="Z1179" s="569"/>
      <c r="AA1179" s="569"/>
      <c r="AB1179" s="569"/>
      <c r="AC1179" s="569"/>
      <c r="AD1179" s="569"/>
      <c r="AE1179" s="569"/>
      <c r="AF1179" s="569"/>
      <c r="AG1179" s="569"/>
      <c r="AH1179" s="569"/>
      <c r="AI1179" s="569"/>
      <c r="AJ1179" s="569"/>
      <c r="AK1179" s="569"/>
      <c r="AL1179" s="569"/>
      <c r="AM1179" s="303"/>
    </row>
    <row r="1180" spans="1:52" s="231" customFormat="1" ht="12.75" customHeight="1">
      <c r="B1180" s="46"/>
      <c r="C1180" s="46"/>
      <c r="D1180" s="46"/>
      <c r="F1180" s="300"/>
      <c r="G1180" s="300"/>
      <c r="H1180" s="300"/>
      <c r="I1180" s="300"/>
      <c r="J1180" s="300"/>
      <c r="K1180" s="300"/>
      <c r="L1180" s="300"/>
      <c r="M1180" s="300"/>
      <c r="N1180" s="300"/>
      <c r="O1180" s="300"/>
      <c r="P1180" s="300"/>
      <c r="Q1180" s="300"/>
      <c r="R1180" s="300"/>
      <c r="S1180" s="300"/>
      <c r="T1180" s="300"/>
      <c r="U1180" s="300"/>
      <c r="V1180" s="300"/>
      <c r="W1180" s="300"/>
      <c r="X1180" s="300"/>
      <c r="Y1180" s="300"/>
      <c r="Z1180" s="300"/>
      <c r="AA1180" s="300"/>
      <c r="AB1180" s="300"/>
      <c r="AC1180" s="300"/>
      <c r="AD1180" s="300"/>
      <c r="AE1180" s="300"/>
      <c r="AF1180" s="300"/>
      <c r="AG1180" s="300"/>
      <c r="AH1180" s="300"/>
      <c r="AI1180" s="300"/>
      <c r="AJ1180" s="300"/>
      <c r="AK1180" s="300"/>
      <c r="AL1180" s="300"/>
      <c r="AM1180" s="300"/>
    </row>
    <row r="1181" spans="1:52" s="231" customFormat="1">
      <c r="B1181" s="46"/>
      <c r="C1181" s="46"/>
      <c r="D1181" s="46"/>
      <c r="AG1181" s="597">
        <v>2020</v>
      </c>
      <c r="AH1181" s="597"/>
      <c r="AI1181" s="597"/>
      <c r="AJ1181" s="597"/>
      <c r="AK1181" s="597"/>
      <c r="AM1181" s="256"/>
    </row>
    <row r="1182" spans="1:52" s="231" customFormat="1">
      <c r="B1182" s="46"/>
      <c r="C1182" s="46"/>
      <c r="D1182" s="46"/>
      <c r="F1182" s="568" t="s">
        <v>338</v>
      </c>
      <c r="G1182" s="568"/>
      <c r="H1182" s="568"/>
      <c r="I1182" s="568"/>
      <c r="J1182" s="568"/>
      <c r="K1182" s="568"/>
      <c r="L1182" s="568"/>
      <c r="M1182" s="568"/>
      <c r="N1182" s="568"/>
      <c r="O1182" s="568"/>
      <c r="P1182" s="568"/>
      <c r="Q1182" s="568"/>
      <c r="R1182" s="568"/>
      <c r="S1182" s="568"/>
      <c r="T1182" s="568"/>
      <c r="U1182" s="568"/>
      <c r="V1182" s="568"/>
      <c r="W1182" s="568"/>
      <c r="X1182" s="568"/>
      <c r="Y1182" s="568"/>
      <c r="AG1182" s="566">
        <f>-773</f>
        <v>-773</v>
      </c>
      <c r="AH1182" s="566"/>
      <c r="AI1182" s="566"/>
      <c r="AJ1182" s="566"/>
      <c r="AK1182" s="566"/>
      <c r="AL1182" s="266"/>
      <c r="AM1182" s="222"/>
      <c r="AW1182" s="231" t="s">
        <v>284</v>
      </c>
      <c r="AX1182" s="231" t="s">
        <v>299</v>
      </c>
      <c r="AY1182" s="231" t="s">
        <v>339</v>
      </c>
      <c r="AZ1182" s="231" t="s">
        <v>340</v>
      </c>
    </row>
    <row r="1183" spans="1:52" s="231" customFormat="1">
      <c r="B1183" s="46"/>
      <c r="C1183" s="46"/>
      <c r="D1183" s="46"/>
      <c r="F1183" s="568" t="s">
        <v>341</v>
      </c>
      <c r="G1183" s="568"/>
      <c r="H1183" s="568"/>
      <c r="I1183" s="568"/>
      <c r="J1183" s="568"/>
      <c r="K1183" s="568"/>
      <c r="L1183" s="568"/>
      <c r="M1183" s="568"/>
      <c r="N1183" s="568"/>
      <c r="O1183" s="568"/>
      <c r="P1183" s="568"/>
      <c r="Q1183" s="568"/>
      <c r="R1183" s="568"/>
      <c r="S1183" s="568"/>
      <c r="T1183" s="568"/>
      <c r="U1183" s="568"/>
      <c r="V1183" s="568"/>
      <c r="W1183" s="568"/>
      <c r="X1183" s="568"/>
      <c r="Y1183" s="568"/>
      <c r="AG1183" s="566">
        <f>-232</f>
        <v>-232</v>
      </c>
      <c r="AH1183" s="566"/>
      <c r="AI1183" s="566"/>
      <c r="AJ1183" s="566"/>
      <c r="AK1183" s="566"/>
      <c r="AL1183" s="266"/>
      <c r="AM1183" s="222"/>
      <c r="AW1183" s="231" t="s">
        <v>285</v>
      </c>
      <c r="AX1183" s="231" t="s">
        <v>301</v>
      </c>
      <c r="AY1183" s="231" t="s">
        <v>342</v>
      </c>
    </row>
    <row r="1184" spans="1:52" s="231" customFormat="1">
      <c r="B1184" s="46"/>
      <c r="C1184" s="46"/>
      <c r="D1184" s="46"/>
      <c r="F1184" s="568" t="s">
        <v>343</v>
      </c>
      <c r="G1184" s="568"/>
      <c r="H1184" s="568"/>
      <c r="I1184" s="568"/>
      <c r="J1184" s="568"/>
      <c r="K1184" s="568"/>
      <c r="L1184" s="568"/>
      <c r="M1184" s="568"/>
      <c r="N1184" s="568"/>
      <c r="O1184" s="568"/>
      <c r="P1184" s="568"/>
      <c r="Q1184" s="568"/>
      <c r="R1184" s="568"/>
      <c r="S1184" s="568"/>
      <c r="T1184" s="568"/>
      <c r="U1184" s="568"/>
      <c r="V1184" s="568"/>
      <c r="W1184" s="568"/>
      <c r="X1184" s="568"/>
      <c r="Y1184" s="568"/>
      <c r="AG1184" s="566">
        <f>-60</f>
        <v>-60</v>
      </c>
      <c r="AH1184" s="566"/>
      <c r="AI1184" s="566"/>
      <c r="AJ1184" s="566"/>
      <c r="AK1184" s="566"/>
      <c r="AL1184" s="266"/>
      <c r="AM1184" s="222"/>
      <c r="AW1184" s="231" t="s">
        <v>286</v>
      </c>
      <c r="AX1184" s="231" t="s">
        <v>300</v>
      </c>
    </row>
    <row r="1185" spans="2:51" s="231" customFormat="1">
      <c r="B1185" s="46"/>
      <c r="C1185" s="46"/>
      <c r="D1185" s="46"/>
      <c r="AG1185" s="674">
        <f>SUBTOTAL(9,AG1182:AG1184)</f>
        <v>-1065</v>
      </c>
      <c r="AH1185" s="674"/>
      <c r="AI1185" s="674"/>
      <c r="AJ1185" s="674"/>
      <c r="AK1185" s="674"/>
      <c r="AL1185" s="266"/>
      <c r="AM1185" s="240"/>
    </row>
    <row r="1186" spans="2:51" s="231" customFormat="1">
      <c r="B1186" s="46"/>
      <c r="C1186" s="46"/>
      <c r="D1186" s="46"/>
      <c r="AG1186" s="297"/>
      <c r="AH1186" s="297"/>
      <c r="AI1186" s="297"/>
      <c r="AJ1186" s="297"/>
      <c r="AK1186" s="297"/>
      <c r="AL1186" s="266"/>
      <c r="AM1186" s="297"/>
    </row>
    <row r="1187" spans="2:51" s="231" customFormat="1">
      <c r="B1187" s="46"/>
      <c r="C1187" s="46"/>
      <c r="D1187" s="46"/>
      <c r="AG1187" s="297"/>
      <c r="AH1187" s="297"/>
      <c r="AI1187" s="297"/>
      <c r="AJ1187" s="297"/>
      <c r="AK1187" s="297"/>
      <c r="AL1187" s="266"/>
      <c r="AM1187" s="297"/>
    </row>
    <row r="1188" spans="2:51" s="231" customFormat="1">
      <c r="B1188" s="46"/>
      <c r="C1188" s="46"/>
      <c r="D1188" s="46"/>
      <c r="AG1188" s="597">
        <v>2020</v>
      </c>
      <c r="AH1188" s="597"/>
      <c r="AI1188" s="597"/>
      <c r="AJ1188" s="597"/>
      <c r="AK1188" s="597"/>
      <c r="AM1188" s="228"/>
    </row>
    <row r="1189" spans="2:51" s="231" customFormat="1" ht="12.75" customHeight="1">
      <c r="B1189" s="46"/>
      <c r="C1189" s="46"/>
      <c r="D1189" s="46"/>
      <c r="F1189" s="569" t="s">
        <v>344</v>
      </c>
      <c r="G1189" s="569"/>
      <c r="H1189" s="569"/>
      <c r="I1189" s="569"/>
      <c r="J1189" s="569"/>
      <c r="K1189" s="569"/>
      <c r="L1189" s="569"/>
      <c r="M1189" s="569"/>
      <c r="N1189" s="569"/>
      <c r="O1189" s="569"/>
      <c r="P1189" s="569"/>
      <c r="Q1189" s="569"/>
      <c r="R1189" s="569"/>
      <c r="S1189" s="569"/>
      <c r="T1189" s="569"/>
      <c r="U1189" s="569"/>
      <c r="V1189" s="569"/>
      <c r="W1189" s="569"/>
      <c r="X1189" s="569"/>
      <c r="Y1189" s="569"/>
      <c r="AG1189" s="228"/>
      <c r="AH1189" s="228"/>
      <c r="AI1189" s="228"/>
      <c r="AJ1189" s="228"/>
      <c r="AK1189" s="228"/>
      <c r="AM1189" s="228"/>
    </row>
    <row r="1190" spans="2:51" s="231" customFormat="1">
      <c r="B1190" s="46"/>
      <c r="C1190" s="46"/>
      <c r="D1190" s="46"/>
      <c r="F1190" s="569"/>
      <c r="G1190" s="569"/>
      <c r="H1190" s="569"/>
      <c r="I1190" s="569"/>
      <c r="J1190" s="569"/>
      <c r="K1190" s="569"/>
      <c r="L1190" s="569"/>
      <c r="M1190" s="569"/>
      <c r="N1190" s="569"/>
      <c r="O1190" s="569"/>
      <c r="P1190" s="569"/>
      <c r="Q1190" s="569"/>
      <c r="R1190" s="569"/>
      <c r="S1190" s="569"/>
      <c r="T1190" s="569"/>
      <c r="U1190" s="569"/>
      <c r="V1190" s="569"/>
      <c r="W1190" s="569"/>
      <c r="X1190" s="569"/>
      <c r="Y1190" s="569"/>
      <c r="AG1190" s="683">
        <f>-622</f>
        <v>-622</v>
      </c>
      <c r="AH1190" s="683"/>
      <c r="AI1190" s="683"/>
      <c r="AJ1190" s="683"/>
      <c r="AK1190" s="683"/>
      <c r="AL1190" s="266"/>
      <c r="AM1190" s="237"/>
      <c r="AW1190" s="231" t="s">
        <v>284</v>
      </c>
      <c r="AX1190" s="231" t="s">
        <v>285</v>
      </c>
      <c r="AY1190" s="231" t="s">
        <v>286</v>
      </c>
    </row>
    <row r="1191" spans="2:51" s="231" customFormat="1">
      <c r="B1191" s="46"/>
      <c r="C1191" s="46"/>
      <c r="D1191" s="46"/>
      <c r="F1191" s="569" t="s">
        <v>345</v>
      </c>
      <c r="G1191" s="569"/>
      <c r="H1191" s="569"/>
      <c r="I1191" s="569"/>
      <c r="J1191" s="569"/>
      <c r="K1191" s="569"/>
      <c r="L1191" s="569"/>
      <c r="M1191" s="569"/>
      <c r="N1191" s="569"/>
      <c r="O1191" s="569"/>
      <c r="P1191" s="569"/>
      <c r="Q1191" s="569"/>
      <c r="R1191" s="569"/>
      <c r="S1191" s="569"/>
      <c r="T1191" s="569"/>
      <c r="U1191" s="569"/>
      <c r="V1191" s="569"/>
      <c r="W1191" s="569"/>
      <c r="X1191" s="569"/>
      <c r="Y1191" s="569"/>
      <c r="AG1191" s="563"/>
      <c r="AH1191" s="563"/>
      <c r="AI1191" s="563"/>
      <c r="AJ1191" s="563"/>
      <c r="AK1191" s="563"/>
      <c r="AL1191" s="266"/>
      <c r="AM1191" s="301"/>
    </row>
    <row r="1192" spans="2:51" s="231" customFormat="1">
      <c r="B1192" s="46"/>
      <c r="C1192" s="46"/>
      <c r="D1192" s="46"/>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AG1192" s="683">
        <f>-151</f>
        <v>-151</v>
      </c>
      <c r="AH1192" s="683"/>
      <c r="AI1192" s="683"/>
      <c r="AJ1192" s="683"/>
      <c r="AK1192" s="683"/>
      <c r="AL1192" s="266"/>
      <c r="AM1192" s="237"/>
      <c r="AW1192" s="231" t="s">
        <v>299</v>
      </c>
      <c r="AX1192" s="231" t="s">
        <v>301</v>
      </c>
      <c r="AY1192" s="231" t="s">
        <v>300</v>
      </c>
    </row>
    <row r="1193" spans="2:51" s="231" customFormat="1" ht="13.5" thickBot="1">
      <c r="B1193" s="46"/>
      <c r="C1193" s="46"/>
      <c r="D1193" s="46"/>
      <c r="AG1193" s="675">
        <f>AG1190+AG1192</f>
        <v>-773</v>
      </c>
      <c r="AH1193" s="675"/>
      <c r="AI1193" s="675"/>
      <c r="AJ1193" s="675"/>
      <c r="AK1193" s="675"/>
      <c r="AL1193" s="266"/>
      <c r="AM1193" s="297"/>
    </row>
    <row r="1194" spans="2:51" s="231" customFormat="1" ht="13.5" thickTop="1">
      <c r="B1194" s="46"/>
      <c r="C1194" s="46"/>
      <c r="D1194" s="46"/>
      <c r="AG1194" s="350"/>
      <c r="AH1194" s="350"/>
      <c r="AI1194" s="350"/>
      <c r="AJ1194" s="350"/>
      <c r="AK1194" s="350"/>
      <c r="AL1194" s="266"/>
      <c r="AM1194" s="297"/>
    </row>
    <row r="1195" spans="2:51" s="231" customFormat="1">
      <c r="B1195" s="46"/>
      <c r="C1195" s="46"/>
      <c r="D1195" s="46"/>
      <c r="F1195" s="221" t="s">
        <v>346</v>
      </c>
      <c r="G1195" s="221"/>
      <c r="H1195" s="221"/>
      <c r="I1195" s="221"/>
      <c r="J1195" s="221"/>
      <c r="K1195" s="221"/>
      <c r="L1195" s="221"/>
      <c r="M1195" s="221"/>
      <c r="N1195" s="221"/>
      <c r="O1195" s="221"/>
      <c r="P1195" s="221"/>
      <c r="Q1195" s="221"/>
      <c r="R1195" s="221"/>
      <c r="S1195" s="221"/>
      <c r="T1195" s="221"/>
      <c r="U1195" s="221"/>
      <c r="V1195" s="221"/>
      <c r="W1195" s="221"/>
      <c r="X1195" s="221"/>
      <c r="Y1195" s="221"/>
      <c r="AG1195" s="566">
        <v>20</v>
      </c>
      <c r="AH1195" s="566"/>
      <c r="AI1195" s="566"/>
      <c r="AJ1195" s="566"/>
      <c r="AK1195" s="566"/>
      <c r="AL1195" s="266"/>
      <c r="AM1195" s="237"/>
    </row>
    <row r="1196" spans="2:51" s="231" customFormat="1">
      <c r="B1196" s="46"/>
      <c r="C1196" s="46"/>
      <c r="D1196" s="46"/>
      <c r="AG1196" s="237"/>
      <c r="AH1196" s="237"/>
      <c r="AI1196" s="237"/>
      <c r="AJ1196" s="237"/>
      <c r="AK1196" s="237"/>
      <c r="AM1196" s="237"/>
    </row>
    <row r="1197" spans="2:51" s="231" customFormat="1">
      <c r="B1197" s="46"/>
      <c r="C1197" s="46"/>
      <c r="D1197" s="46"/>
      <c r="F1197" s="671" t="s">
        <v>347</v>
      </c>
      <c r="G1197" s="671"/>
      <c r="H1197" s="671"/>
      <c r="I1197" s="671"/>
      <c r="J1197" s="671"/>
      <c r="K1197" s="671"/>
      <c r="L1197" s="671"/>
      <c r="M1197" s="671"/>
      <c r="N1197" s="671"/>
      <c r="O1197" s="671"/>
      <c r="P1197" s="671"/>
      <c r="Q1197" s="671"/>
      <c r="R1197" s="671"/>
      <c r="S1197" s="671"/>
      <c r="T1197" s="671"/>
      <c r="U1197" s="671"/>
      <c r="V1197" s="671"/>
      <c r="W1197" s="671"/>
      <c r="X1197" s="671"/>
      <c r="Y1197" s="671"/>
      <c r="Z1197" s="671"/>
      <c r="AA1197" s="671"/>
      <c r="AB1197" s="671"/>
      <c r="AC1197" s="671"/>
      <c r="AD1197" s="671"/>
      <c r="AE1197" s="671"/>
      <c r="AF1197" s="671"/>
      <c r="AG1197" s="671"/>
      <c r="AH1197" s="671"/>
      <c r="AI1197" s="671"/>
      <c r="AJ1197" s="671"/>
      <c r="AK1197" s="671"/>
      <c r="AL1197" s="671"/>
      <c r="AM1197" s="671"/>
    </row>
    <row r="1198" spans="2:51" s="231" customFormat="1" ht="14.1" customHeight="1">
      <c r="B1198" s="46"/>
      <c r="C1198" s="46"/>
      <c r="D1198" s="46"/>
      <c r="F1198" s="738" t="s">
        <v>1666</v>
      </c>
      <c r="G1198" s="738"/>
      <c r="H1198" s="738"/>
      <c r="I1198" s="738"/>
      <c r="J1198" s="738"/>
      <c r="K1198" s="738"/>
      <c r="L1198" s="738"/>
      <c r="M1198" s="738"/>
      <c r="N1198" s="738"/>
      <c r="O1198" s="738"/>
      <c r="P1198" s="738"/>
      <c r="Q1198" s="738"/>
      <c r="R1198" s="738"/>
      <c r="S1198" s="738"/>
      <c r="T1198" s="738"/>
      <c r="U1198" s="738"/>
      <c r="V1198" s="738"/>
      <c r="W1198" s="738"/>
      <c r="X1198" s="738"/>
      <c r="Y1198" s="738"/>
      <c r="Z1198" s="738"/>
      <c r="AA1198" s="738"/>
      <c r="AB1198" s="738"/>
      <c r="AC1198" s="738"/>
      <c r="AD1198" s="738"/>
      <c r="AE1198" s="738"/>
      <c r="AF1198" s="738"/>
      <c r="AG1198" s="738"/>
      <c r="AH1198" s="738"/>
      <c r="AI1198" s="738"/>
      <c r="AJ1198" s="738"/>
      <c r="AK1198" s="738"/>
      <c r="AL1198" s="738"/>
      <c r="AM1198" s="349"/>
    </row>
    <row r="1199" spans="2:51" s="231" customFormat="1" ht="14.1" customHeight="1">
      <c r="B1199" s="46"/>
      <c r="C1199" s="46"/>
      <c r="D1199" s="46"/>
      <c r="F1199" s="738"/>
      <c r="G1199" s="738"/>
      <c r="H1199" s="738"/>
      <c r="I1199" s="738"/>
      <c r="J1199" s="738"/>
      <c r="K1199" s="738"/>
      <c r="L1199" s="738"/>
      <c r="M1199" s="738"/>
      <c r="N1199" s="738"/>
      <c r="O1199" s="738"/>
      <c r="P1199" s="738"/>
      <c r="Q1199" s="738"/>
      <c r="R1199" s="738"/>
      <c r="S1199" s="738"/>
      <c r="T1199" s="738"/>
      <c r="U1199" s="738"/>
      <c r="V1199" s="738"/>
      <c r="W1199" s="738"/>
      <c r="X1199" s="738"/>
      <c r="Y1199" s="738"/>
      <c r="Z1199" s="738"/>
      <c r="AA1199" s="738"/>
      <c r="AB1199" s="738"/>
      <c r="AC1199" s="738"/>
      <c r="AD1199" s="738"/>
      <c r="AE1199" s="738"/>
      <c r="AF1199" s="738"/>
      <c r="AG1199" s="738"/>
      <c r="AH1199" s="738"/>
      <c r="AI1199" s="738"/>
      <c r="AJ1199" s="738"/>
      <c r="AK1199" s="738"/>
      <c r="AL1199" s="738"/>
      <c r="AM1199" s="303"/>
    </row>
    <row r="1200" spans="2:51" s="231" customFormat="1" ht="15">
      <c r="B1200" s="3"/>
      <c r="C1200" s="3"/>
      <c r="D1200" s="3"/>
      <c r="F1200" s="300"/>
      <c r="G1200" s="300"/>
      <c r="H1200" s="300"/>
      <c r="I1200" s="300"/>
      <c r="J1200" s="300"/>
      <c r="K1200" s="300"/>
      <c r="L1200" s="300"/>
      <c r="M1200" s="300"/>
      <c r="N1200" s="300"/>
      <c r="O1200" s="300"/>
      <c r="P1200" s="300"/>
      <c r="Q1200" s="300"/>
      <c r="R1200" s="300"/>
      <c r="S1200" s="300"/>
      <c r="T1200" s="300"/>
      <c r="U1200" s="300"/>
      <c r="V1200" s="300"/>
      <c r="W1200" s="300"/>
      <c r="X1200" s="300"/>
      <c r="Y1200" s="300"/>
      <c r="Z1200" s="300"/>
      <c r="AA1200" s="300"/>
      <c r="AB1200" s="300"/>
      <c r="AC1200" s="300"/>
      <c r="AD1200" s="300"/>
      <c r="AE1200" s="300"/>
      <c r="AF1200" s="300"/>
      <c r="AG1200" s="300"/>
      <c r="AH1200" s="300"/>
      <c r="AI1200" s="300"/>
      <c r="AJ1200" s="300"/>
      <c r="AK1200" s="300"/>
      <c r="AL1200" s="300"/>
      <c r="AM1200" s="300"/>
    </row>
    <row r="1201" spans="2:39" s="231" customFormat="1" ht="15">
      <c r="B1201" s="3"/>
      <c r="C1201" s="3"/>
      <c r="D1201" s="3"/>
      <c r="F1201" s="300"/>
      <c r="G1201" s="300"/>
      <c r="H1201" s="300"/>
      <c r="I1201" s="300"/>
      <c r="J1201" s="300"/>
      <c r="K1201" s="300"/>
      <c r="L1201" s="300"/>
      <c r="M1201" s="300"/>
      <c r="N1201" s="300"/>
      <c r="O1201" s="300"/>
      <c r="P1201" s="300"/>
      <c r="Q1201" s="300"/>
      <c r="R1201" s="300"/>
      <c r="S1201" s="300"/>
      <c r="T1201" s="300"/>
      <c r="U1201" s="300"/>
      <c r="V1201" s="300"/>
      <c r="W1201" s="300"/>
      <c r="X1201" s="300"/>
      <c r="Y1201" s="300"/>
      <c r="Z1201" s="300"/>
      <c r="AA1201" s="300"/>
      <c r="AB1201" s="300"/>
      <c r="AC1201" s="300"/>
      <c r="AD1201" s="300"/>
      <c r="AE1201" s="300"/>
      <c r="AF1201" s="300"/>
      <c r="AG1201" s="300"/>
      <c r="AH1201" s="300"/>
      <c r="AI1201" s="300"/>
      <c r="AJ1201" s="300"/>
      <c r="AK1201" s="300"/>
      <c r="AL1201" s="300"/>
      <c r="AM1201" s="300"/>
    </row>
    <row r="1202" spans="2:39" s="361" customFormat="1" ht="15">
      <c r="F1202" s="300"/>
      <c r="G1202" s="300"/>
      <c r="H1202" s="300"/>
      <c r="I1202" s="300"/>
      <c r="J1202" s="300"/>
      <c r="K1202" s="300"/>
      <c r="L1202" s="300"/>
      <c r="M1202" s="300"/>
      <c r="N1202" s="300"/>
      <c r="O1202" s="300"/>
      <c r="P1202" s="300"/>
      <c r="Q1202" s="300"/>
      <c r="R1202" s="300"/>
      <c r="S1202" s="300"/>
      <c r="T1202" s="300"/>
      <c r="U1202" s="300"/>
      <c r="V1202" s="300"/>
      <c r="W1202" s="300"/>
      <c r="X1202" s="300"/>
      <c r="Y1202" s="300"/>
      <c r="Z1202" s="300"/>
      <c r="AA1202" s="300"/>
      <c r="AB1202" s="300"/>
      <c r="AC1202" s="300"/>
      <c r="AD1202" s="300"/>
      <c r="AE1202" s="300"/>
      <c r="AF1202" s="300"/>
      <c r="AG1202" s="300"/>
      <c r="AH1202" s="300"/>
      <c r="AI1202" s="300"/>
      <c r="AJ1202" s="300"/>
      <c r="AK1202" s="300"/>
      <c r="AL1202" s="300"/>
      <c r="AM1202" s="300"/>
    </row>
    <row r="1203" spans="2:39" s="361" customFormat="1" ht="15">
      <c r="F1203" s="300"/>
      <c r="G1203" s="300"/>
      <c r="H1203" s="300"/>
      <c r="I1203" s="300"/>
      <c r="J1203" s="300"/>
      <c r="K1203" s="300"/>
      <c r="L1203" s="300"/>
      <c r="M1203" s="300"/>
      <c r="N1203" s="300"/>
      <c r="O1203" s="300"/>
      <c r="P1203" s="300"/>
      <c r="Q1203" s="300"/>
      <c r="R1203" s="300"/>
      <c r="S1203" s="300"/>
      <c r="T1203" s="300"/>
      <c r="U1203" s="300"/>
      <c r="V1203" s="300"/>
      <c r="W1203" s="300"/>
      <c r="X1203" s="300"/>
      <c r="Y1203" s="300"/>
      <c r="Z1203" s="300"/>
      <c r="AA1203" s="300"/>
      <c r="AB1203" s="300"/>
      <c r="AC1203" s="300"/>
      <c r="AD1203" s="300"/>
      <c r="AE1203" s="300"/>
      <c r="AF1203" s="300"/>
      <c r="AG1203" s="300"/>
      <c r="AH1203" s="300"/>
      <c r="AI1203" s="300"/>
      <c r="AJ1203" s="300"/>
      <c r="AK1203" s="300"/>
      <c r="AL1203" s="300"/>
      <c r="AM1203" s="300"/>
    </row>
    <row r="1204" spans="2:39" s="361" customFormat="1" ht="15">
      <c r="F1204" s="300"/>
      <c r="G1204" s="300"/>
      <c r="H1204" s="300"/>
      <c r="I1204" s="300"/>
      <c r="J1204" s="300"/>
      <c r="K1204" s="300"/>
      <c r="L1204" s="300"/>
      <c r="M1204" s="300"/>
      <c r="N1204" s="300"/>
      <c r="O1204" s="300"/>
      <c r="P1204" s="300"/>
      <c r="Q1204" s="300"/>
      <c r="R1204" s="300"/>
      <c r="S1204" s="300"/>
      <c r="T1204" s="300"/>
      <c r="U1204" s="300"/>
      <c r="V1204" s="300"/>
      <c r="W1204" s="300"/>
      <c r="X1204" s="300"/>
      <c r="Y1204" s="300"/>
      <c r="Z1204" s="300"/>
      <c r="AA1204" s="300"/>
      <c r="AB1204" s="300"/>
      <c r="AC1204" s="300"/>
      <c r="AD1204" s="300"/>
      <c r="AE1204" s="300"/>
      <c r="AF1204" s="300"/>
      <c r="AG1204" s="300"/>
      <c r="AH1204" s="300"/>
      <c r="AI1204" s="300"/>
      <c r="AJ1204" s="300"/>
      <c r="AK1204" s="300"/>
      <c r="AL1204" s="300"/>
      <c r="AM1204" s="300"/>
    </row>
    <row r="1205" spans="2:39" s="361" customFormat="1" ht="15">
      <c r="F1205" s="300"/>
      <c r="G1205" s="300"/>
      <c r="H1205" s="300"/>
      <c r="I1205" s="300"/>
      <c r="J1205" s="300"/>
      <c r="K1205" s="300"/>
      <c r="L1205" s="300"/>
      <c r="M1205" s="300"/>
      <c r="N1205" s="300"/>
      <c r="O1205" s="300"/>
      <c r="P1205" s="300"/>
      <c r="Q1205" s="300"/>
      <c r="R1205" s="300"/>
      <c r="S1205" s="300"/>
      <c r="T1205" s="300"/>
      <c r="U1205" s="300"/>
      <c r="V1205" s="300"/>
      <c r="W1205" s="300"/>
      <c r="X1205" s="300"/>
      <c r="Y1205" s="300"/>
      <c r="Z1205" s="300"/>
      <c r="AA1205" s="300"/>
      <c r="AB1205" s="300"/>
      <c r="AC1205" s="300"/>
      <c r="AD1205" s="300"/>
      <c r="AE1205" s="300"/>
      <c r="AF1205" s="300"/>
      <c r="AG1205" s="300"/>
      <c r="AH1205" s="300"/>
      <c r="AI1205" s="300"/>
      <c r="AJ1205" s="300"/>
      <c r="AK1205" s="300"/>
      <c r="AL1205" s="300"/>
      <c r="AM1205" s="300"/>
    </row>
    <row r="1206" spans="2:39" s="361" customFormat="1" ht="15">
      <c r="F1206" s="300"/>
      <c r="G1206" s="300"/>
      <c r="H1206" s="300"/>
      <c r="I1206" s="300"/>
      <c r="J1206" s="300"/>
      <c r="K1206" s="300"/>
      <c r="L1206" s="300"/>
      <c r="M1206" s="300"/>
      <c r="N1206" s="300"/>
      <c r="O1206" s="300"/>
      <c r="P1206" s="300"/>
      <c r="Q1206" s="300"/>
      <c r="R1206" s="300"/>
      <c r="S1206" s="300"/>
      <c r="T1206" s="300"/>
      <c r="U1206" s="300"/>
      <c r="V1206" s="300"/>
      <c r="W1206" s="300"/>
      <c r="X1206" s="300"/>
      <c r="Y1206" s="300"/>
      <c r="Z1206" s="300"/>
      <c r="AA1206" s="300"/>
      <c r="AB1206" s="300"/>
      <c r="AC1206" s="300"/>
      <c r="AD1206" s="300"/>
      <c r="AE1206" s="300"/>
      <c r="AF1206" s="300"/>
      <c r="AG1206" s="300"/>
      <c r="AH1206" s="300"/>
      <c r="AI1206" s="300"/>
      <c r="AJ1206" s="300"/>
      <c r="AK1206" s="300"/>
      <c r="AL1206" s="300"/>
      <c r="AM1206" s="300"/>
    </row>
    <row r="1207" spans="2:39" s="361" customFormat="1" ht="15">
      <c r="F1207" s="300"/>
      <c r="G1207" s="300"/>
      <c r="H1207" s="300"/>
      <c r="I1207" s="300"/>
      <c r="J1207" s="300"/>
      <c r="K1207" s="300"/>
      <c r="L1207" s="300"/>
      <c r="M1207" s="300"/>
      <c r="N1207" s="300"/>
      <c r="O1207" s="300"/>
      <c r="P1207" s="300"/>
      <c r="Q1207" s="300"/>
      <c r="R1207" s="300"/>
      <c r="S1207" s="300"/>
      <c r="T1207" s="300"/>
      <c r="U1207" s="300"/>
      <c r="V1207" s="300"/>
      <c r="W1207" s="300"/>
      <c r="X1207" s="300"/>
      <c r="Y1207" s="300"/>
      <c r="Z1207" s="300"/>
      <c r="AA1207" s="300"/>
      <c r="AB1207" s="300"/>
      <c r="AC1207" s="300"/>
      <c r="AD1207" s="300"/>
      <c r="AE1207" s="300"/>
      <c r="AF1207" s="300"/>
      <c r="AG1207" s="300"/>
      <c r="AH1207" s="300"/>
      <c r="AI1207" s="300"/>
      <c r="AJ1207" s="300"/>
      <c r="AK1207" s="300"/>
      <c r="AL1207" s="300"/>
      <c r="AM1207" s="300"/>
    </row>
    <row r="1208" spans="2:39" s="361" customFormat="1" ht="15">
      <c r="F1208" s="300"/>
      <c r="G1208" s="300"/>
      <c r="H1208" s="300"/>
      <c r="I1208" s="300"/>
      <c r="J1208" s="300"/>
      <c r="K1208" s="300"/>
      <c r="L1208" s="300"/>
      <c r="M1208" s="300"/>
      <c r="N1208" s="300"/>
      <c r="O1208" s="300"/>
      <c r="P1208" s="300"/>
      <c r="Q1208" s="300"/>
      <c r="R1208" s="300"/>
      <c r="S1208" s="300"/>
      <c r="T1208" s="300"/>
      <c r="U1208" s="300"/>
      <c r="V1208" s="300"/>
      <c r="W1208" s="300"/>
      <c r="X1208" s="300"/>
      <c r="Y1208" s="300"/>
      <c r="Z1208" s="300"/>
      <c r="AA1208" s="300"/>
      <c r="AB1208" s="300"/>
      <c r="AC1208" s="300"/>
      <c r="AD1208" s="300"/>
      <c r="AE1208" s="300"/>
      <c r="AF1208" s="300"/>
      <c r="AG1208" s="300"/>
      <c r="AH1208" s="300"/>
      <c r="AI1208" s="300"/>
      <c r="AJ1208" s="300"/>
      <c r="AK1208" s="300"/>
      <c r="AL1208" s="300"/>
      <c r="AM1208" s="300"/>
    </row>
    <row r="1209" spans="2:39" s="361" customFormat="1" ht="15">
      <c r="F1209" s="300"/>
      <c r="G1209" s="300"/>
      <c r="H1209" s="300"/>
      <c r="I1209" s="300"/>
      <c r="J1209" s="300"/>
      <c r="K1209" s="300"/>
      <c r="L1209" s="300"/>
      <c r="M1209" s="300"/>
      <c r="N1209" s="300"/>
      <c r="O1209" s="300"/>
      <c r="P1209" s="300"/>
      <c r="Q1209" s="300"/>
      <c r="R1209" s="300"/>
      <c r="S1209" s="300"/>
      <c r="T1209" s="300"/>
      <c r="U1209" s="300"/>
      <c r="V1209" s="300"/>
      <c r="W1209" s="300"/>
      <c r="X1209" s="300"/>
      <c r="Y1209" s="300"/>
      <c r="Z1209" s="300"/>
      <c r="AA1209" s="300"/>
      <c r="AB1209" s="300"/>
      <c r="AC1209" s="300"/>
      <c r="AD1209" s="300"/>
      <c r="AE1209" s="300"/>
      <c r="AF1209" s="300"/>
      <c r="AG1209" s="300"/>
      <c r="AH1209" s="300"/>
      <c r="AI1209" s="300"/>
      <c r="AJ1209" s="300"/>
      <c r="AK1209" s="300"/>
      <c r="AL1209" s="300"/>
      <c r="AM1209" s="300"/>
    </row>
    <row r="1210" spans="2:39" s="231" customFormat="1" ht="15">
      <c r="B1210" s="96"/>
      <c r="C1210" s="96"/>
      <c r="D1210" s="96"/>
      <c r="F1210" s="300"/>
      <c r="G1210" s="300"/>
      <c r="H1210" s="300"/>
      <c r="I1210" s="300"/>
      <c r="J1210" s="300"/>
      <c r="K1210" s="300"/>
      <c r="L1210" s="300"/>
      <c r="M1210" s="300"/>
      <c r="N1210" s="300"/>
      <c r="O1210" s="300"/>
      <c r="P1210" s="300"/>
      <c r="Q1210" s="300"/>
      <c r="R1210" s="300"/>
      <c r="S1210" s="300"/>
      <c r="T1210" s="300"/>
      <c r="U1210" s="300"/>
      <c r="V1210" s="300"/>
      <c r="W1210" s="300"/>
      <c r="X1210" s="300"/>
      <c r="Y1210" s="300"/>
      <c r="Z1210" s="300"/>
      <c r="AA1210" s="300"/>
      <c r="AB1210" s="300"/>
      <c r="AC1210" s="300"/>
      <c r="AD1210" s="300"/>
      <c r="AE1210" s="300"/>
      <c r="AF1210" s="300"/>
      <c r="AG1210" s="300"/>
      <c r="AH1210" s="300"/>
      <c r="AI1210" s="300"/>
      <c r="AJ1210" s="300"/>
      <c r="AK1210" s="300"/>
      <c r="AL1210" s="300"/>
      <c r="AM1210" s="300"/>
    </row>
    <row r="1211" spans="2:39" s="231" customFormat="1" ht="15">
      <c r="B1211" s="3"/>
      <c r="C1211" s="3"/>
      <c r="D1211" s="3"/>
      <c r="F1211" s="300"/>
      <c r="G1211" s="300"/>
      <c r="H1211" s="300"/>
      <c r="I1211" s="300"/>
      <c r="J1211" s="300"/>
      <c r="K1211" s="300"/>
      <c r="L1211" s="300"/>
      <c r="M1211" s="300"/>
      <c r="N1211" s="300"/>
      <c r="O1211" s="300"/>
      <c r="P1211" s="300"/>
      <c r="Q1211" s="300"/>
      <c r="R1211" s="300"/>
      <c r="S1211" s="300"/>
      <c r="T1211" s="300"/>
      <c r="U1211" s="300"/>
      <c r="V1211" s="300"/>
      <c r="W1211" s="300"/>
      <c r="X1211" s="300"/>
      <c r="Y1211" s="300"/>
      <c r="Z1211" s="300"/>
      <c r="AA1211" s="300"/>
      <c r="AB1211" s="300"/>
      <c r="AC1211" s="300"/>
      <c r="AD1211" s="300"/>
      <c r="AE1211" s="300"/>
      <c r="AF1211" s="300"/>
      <c r="AG1211" s="300"/>
      <c r="AH1211" s="300"/>
      <c r="AI1211" s="300"/>
      <c r="AJ1211" s="300"/>
      <c r="AK1211" s="300"/>
      <c r="AL1211" s="300"/>
      <c r="AM1211" s="300"/>
    </row>
    <row r="1212" spans="2:39" s="231" customFormat="1" ht="15">
      <c r="B1212" s="3"/>
      <c r="C1212" s="3"/>
      <c r="D1212" s="3"/>
      <c r="F1212" s="300"/>
      <c r="G1212" s="300"/>
      <c r="H1212" s="300"/>
      <c r="I1212" s="300"/>
      <c r="J1212" s="300"/>
      <c r="K1212" s="300"/>
      <c r="L1212" s="300"/>
      <c r="M1212" s="300"/>
      <c r="N1212" s="300"/>
      <c r="O1212" s="300"/>
      <c r="P1212" s="300"/>
      <c r="Q1212" s="300"/>
      <c r="R1212" s="300"/>
      <c r="S1212" s="300"/>
      <c r="T1212" s="300"/>
      <c r="U1212" s="300"/>
      <c r="V1212" s="300"/>
      <c r="W1212" s="300"/>
      <c r="X1212" s="300"/>
      <c r="Y1212" s="300"/>
      <c r="Z1212" s="300"/>
      <c r="AA1212" s="300"/>
      <c r="AB1212" s="300"/>
      <c r="AC1212" s="300"/>
      <c r="AD1212" s="300"/>
      <c r="AE1212" s="300"/>
      <c r="AF1212" s="300"/>
      <c r="AG1212" s="300"/>
      <c r="AH1212" s="300"/>
      <c r="AI1212" s="300"/>
      <c r="AJ1212" s="300"/>
      <c r="AK1212" s="300"/>
      <c r="AL1212" s="300"/>
      <c r="AM1212" s="300"/>
    </row>
    <row r="1213" spans="2:39" s="231" customFormat="1" ht="15">
      <c r="B1213" s="3"/>
      <c r="C1213" s="3"/>
      <c r="D1213" s="3"/>
      <c r="F1213" s="300"/>
      <c r="G1213" s="300"/>
      <c r="H1213" s="300"/>
      <c r="I1213" s="300"/>
      <c r="J1213" s="300"/>
      <c r="K1213" s="300"/>
      <c r="L1213" s="300"/>
      <c r="M1213" s="300"/>
      <c r="N1213" s="300"/>
      <c r="O1213" s="300"/>
      <c r="P1213" s="300"/>
      <c r="Q1213" s="300"/>
      <c r="R1213" s="300"/>
      <c r="S1213" s="300"/>
      <c r="T1213" s="300"/>
      <c r="U1213" s="300"/>
      <c r="V1213" s="300"/>
      <c r="W1213" s="300"/>
      <c r="X1213" s="300"/>
      <c r="Y1213" s="300"/>
      <c r="Z1213" s="300"/>
      <c r="AA1213" s="300"/>
      <c r="AB1213" s="300"/>
      <c r="AC1213" s="300"/>
      <c r="AD1213" s="300"/>
      <c r="AE1213" s="300"/>
      <c r="AF1213" s="300"/>
      <c r="AG1213" s="300"/>
      <c r="AH1213" s="300"/>
      <c r="AI1213" s="300"/>
      <c r="AJ1213" s="300"/>
      <c r="AK1213" s="300"/>
      <c r="AL1213" s="300"/>
      <c r="AM1213" s="300"/>
    </row>
    <row r="1214" spans="2:39" s="231" customFormat="1" ht="15">
      <c r="B1214" s="3"/>
      <c r="C1214" s="3"/>
      <c r="D1214" s="3"/>
      <c r="F1214" s="300"/>
      <c r="G1214" s="300"/>
      <c r="H1214" s="300"/>
      <c r="I1214" s="300"/>
      <c r="J1214" s="300"/>
      <c r="K1214" s="300"/>
      <c r="L1214" s="300"/>
      <c r="M1214" s="300"/>
      <c r="N1214" s="300"/>
      <c r="O1214" s="300"/>
      <c r="P1214" s="300"/>
      <c r="Q1214" s="300"/>
      <c r="R1214" s="300"/>
      <c r="S1214" s="300"/>
      <c r="T1214" s="300"/>
      <c r="U1214" s="300"/>
      <c r="V1214" s="300"/>
      <c r="W1214" s="300"/>
      <c r="X1214" s="300"/>
      <c r="Y1214" s="300"/>
      <c r="Z1214" s="300"/>
      <c r="AA1214" s="300"/>
      <c r="AB1214" s="300"/>
      <c r="AC1214" s="300"/>
      <c r="AD1214" s="300"/>
      <c r="AE1214" s="300"/>
      <c r="AF1214" s="300"/>
      <c r="AG1214" s="300"/>
      <c r="AH1214" s="300"/>
      <c r="AI1214" s="300"/>
      <c r="AJ1214" s="300"/>
      <c r="AK1214" s="300"/>
      <c r="AL1214" s="300"/>
      <c r="AM1214" s="300"/>
    </row>
    <row r="1215" spans="2:39" s="231" customFormat="1" ht="15">
      <c r="B1215" s="3"/>
      <c r="C1215" s="3"/>
      <c r="D1215" s="3"/>
      <c r="F1215" s="300"/>
      <c r="G1215" s="300"/>
      <c r="H1215" s="300"/>
      <c r="I1215" s="300"/>
      <c r="J1215" s="300"/>
      <c r="K1215" s="300"/>
      <c r="L1215" s="300"/>
      <c r="M1215" s="300"/>
      <c r="N1215" s="300"/>
      <c r="O1215" s="300"/>
      <c r="P1215" s="300"/>
      <c r="Q1215" s="300"/>
      <c r="R1215" s="300"/>
      <c r="S1215" s="300"/>
      <c r="T1215" s="300"/>
      <c r="U1215" s="300"/>
      <c r="V1215" s="300"/>
      <c r="W1215" s="300"/>
      <c r="X1215" s="300"/>
      <c r="Y1215" s="300"/>
      <c r="Z1215" s="300"/>
      <c r="AA1215" s="300"/>
      <c r="AB1215" s="300"/>
      <c r="AC1215" s="300"/>
      <c r="AD1215" s="300"/>
      <c r="AE1215" s="300"/>
      <c r="AF1215" s="300"/>
      <c r="AG1215" s="300"/>
      <c r="AH1215" s="300"/>
      <c r="AI1215" s="300"/>
      <c r="AJ1215" s="300"/>
      <c r="AK1215" s="300"/>
      <c r="AL1215" s="300"/>
      <c r="AM1215" s="300"/>
    </row>
    <row r="1216" spans="2:39" s="231" customFormat="1" ht="15">
      <c r="B1216" s="3"/>
      <c r="C1216" s="3"/>
      <c r="D1216" s="3"/>
      <c r="F1216" s="300"/>
      <c r="G1216" s="300"/>
      <c r="H1216" s="300"/>
      <c r="I1216" s="300"/>
      <c r="J1216" s="300"/>
      <c r="K1216" s="300"/>
      <c r="L1216" s="300"/>
      <c r="M1216" s="300"/>
      <c r="N1216" s="300"/>
      <c r="O1216" s="300"/>
      <c r="P1216" s="300"/>
      <c r="Q1216" s="300"/>
      <c r="R1216" s="300"/>
      <c r="S1216" s="300"/>
      <c r="T1216" s="300"/>
      <c r="U1216" s="300"/>
      <c r="V1216" s="300"/>
      <c r="W1216" s="300"/>
      <c r="X1216" s="300"/>
      <c r="Y1216" s="300"/>
      <c r="Z1216" s="300"/>
      <c r="AA1216" s="300"/>
      <c r="AB1216" s="300"/>
      <c r="AC1216" s="300"/>
      <c r="AD1216" s="300"/>
      <c r="AE1216" s="300"/>
      <c r="AF1216" s="300"/>
      <c r="AG1216" s="300"/>
      <c r="AH1216" s="300"/>
      <c r="AI1216" s="300"/>
      <c r="AJ1216" s="300"/>
      <c r="AK1216" s="300"/>
      <c r="AL1216" s="300"/>
      <c r="AM1216" s="300"/>
    </row>
    <row r="1217" spans="2:39" s="361" customFormat="1" ht="15">
      <c r="F1217" s="300"/>
      <c r="G1217" s="300"/>
      <c r="H1217" s="300"/>
      <c r="I1217" s="300"/>
      <c r="J1217" s="300"/>
      <c r="K1217" s="300"/>
      <c r="L1217" s="300"/>
      <c r="M1217" s="300"/>
      <c r="N1217" s="300"/>
      <c r="O1217" s="300"/>
      <c r="P1217" s="300"/>
      <c r="Q1217" s="300"/>
      <c r="R1217" s="300"/>
      <c r="S1217" s="300"/>
      <c r="T1217" s="300"/>
      <c r="U1217" s="300"/>
      <c r="V1217" s="300"/>
      <c r="W1217" s="300"/>
      <c r="X1217" s="300"/>
      <c r="Y1217" s="300"/>
      <c r="Z1217" s="300"/>
      <c r="AA1217" s="300"/>
      <c r="AB1217" s="300"/>
      <c r="AC1217" s="300"/>
      <c r="AD1217" s="300"/>
      <c r="AE1217" s="300"/>
      <c r="AF1217" s="300"/>
      <c r="AG1217" s="300"/>
      <c r="AH1217" s="300"/>
      <c r="AI1217" s="300"/>
      <c r="AJ1217" s="300"/>
      <c r="AK1217" s="300"/>
      <c r="AL1217" s="300"/>
      <c r="AM1217" s="300"/>
    </row>
    <row r="1218" spans="2:39" s="361" customFormat="1" ht="15">
      <c r="F1218" s="300"/>
      <c r="G1218" s="300"/>
      <c r="H1218" s="300"/>
      <c r="I1218" s="300"/>
      <c r="J1218" s="300"/>
      <c r="K1218" s="300"/>
      <c r="L1218" s="300"/>
      <c r="M1218" s="300"/>
      <c r="N1218" s="300"/>
      <c r="O1218" s="300"/>
      <c r="P1218" s="300"/>
      <c r="Q1218" s="300"/>
      <c r="R1218" s="300"/>
      <c r="S1218" s="300"/>
      <c r="T1218" s="300"/>
      <c r="U1218" s="300"/>
      <c r="V1218" s="300"/>
      <c r="W1218" s="300"/>
      <c r="X1218" s="300"/>
      <c r="Y1218" s="300"/>
      <c r="Z1218" s="300"/>
      <c r="AA1218" s="300"/>
      <c r="AB1218" s="300"/>
      <c r="AC1218" s="300"/>
      <c r="AD1218" s="300"/>
      <c r="AE1218" s="300"/>
      <c r="AF1218" s="300"/>
      <c r="AG1218" s="300"/>
      <c r="AH1218" s="300"/>
      <c r="AI1218" s="300"/>
      <c r="AJ1218" s="300"/>
      <c r="AK1218" s="300"/>
      <c r="AL1218" s="300"/>
      <c r="AM1218" s="300"/>
    </row>
    <row r="1219" spans="2:39" s="231" customFormat="1" ht="15">
      <c r="B1219" s="3"/>
      <c r="C1219" s="3"/>
      <c r="D1219" s="3"/>
      <c r="F1219" s="300"/>
      <c r="G1219" s="300"/>
      <c r="H1219" s="300"/>
      <c r="I1219" s="300"/>
      <c r="J1219" s="300"/>
      <c r="K1219" s="300"/>
      <c r="L1219" s="300"/>
      <c r="M1219" s="300"/>
      <c r="N1219" s="300"/>
      <c r="O1219" s="300"/>
      <c r="P1219" s="300"/>
      <c r="Q1219" s="300"/>
      <c r="R1219" s="300"/>
      <c r="S1219" s="300"/>
      <c r="T1219" s="300"/>
      <c r="U1219" s="300"/>
      <c r="V1219" s="300"/>
      <c r="W1219" s="300"/>
      <c r="X1219" s="300"/>
      <c r="Y1219" s="300"/>
      <c r="Z1219" s="300"/>
      <c r="AA1219" s="300"/>
      <c r="AB1219" s="300"/>
      <c r="AC1219" s="300"/>
      <c r="AD1219" s="300"/>
      <c r="AE1219" s="300"/>
      <c r="AF1219" s="300"/>
      <c r="AG1219" s="300"/>
      <c r="AH1219" s="300"/>
      <c r="AI1219" s="300"/>
      <c r="AJ1219" s="300"/>
      <c r="AK1219" s="300"/>
      <c r="AL1219" s="300"/>
      <c r="AM1219" s="300"/>
    </row>
    <row r="1220" spans="2:39" s="231" customFormat="1" ht="15">
      <c r="B1220" s="3"/>
      <c r="C1220" s="3"/>
      <c r="D1220" s="3"/>
      <c r="F1220" s="300"/>
      <c r="G1220" s="300"/>
      <c r="H1220" s="300"/>
      <c r="I1220" s="300"/>
      <c r="J1220" s="300"/>
      <c r="K1220" s="300"/>
      <c r="L1220" s="300"/>
      <c r="M1220" s="300"/>
      <c r="N1220" s="300"/>
      <c r="O1220" s="300"/>
      <c r="P1220" s="300"/>
      <c r="Q1220" s="300"/>
      <c r="R1220" s="300"/>
      <c r="S1220" s="300"/>
      <c r="T1220" s="300"/>
      <c r="U1220" s="300"/>
      <c r="V1220" s="300"/>
      <c r="W1220" s="300"/>
      <c r="X1220" s="300"/>
      <c r="Y1220" s="300"/>
      <c r="Z1220" s="300"/>
      <c r="AA1220" s="300"/>
      <c r="AB1220" s="300"/>
      <c r="AC1220" s="300"/>
      <c r="AD1220" s="300"/>
      <c r="AE1220" s="300"/>
      <c r="AF1220" s="300"/>
      <c r="AG1220" s="300"/>
      <c r="AH1220" s="300"/>
      <c r="AI1220" s="300"/>
      <c r="AJ1220" s="300"/>
      <c r="AK1220" s="300"/>
      <c r="AL1220" s="300"/>
      <c r="AM1220" s="300"/>
    </row>
    <row r="1221" spans="2:39" s="231" customFormat="1" ht="17.25" customHeight="1">
      <c r="B1221" s="3"/>
      <c r="C1221" s="3"/>
      <c r="D1221" s="3"/>
      <c r="E1221" s="242"/>
      <c r="F1221" s="242"/>
      <c r="G1221" s="242"/>
      <c r="H1221" s="242"/>
      <c r="I1221" s="242"/>
      <c r="J1221" s="242"/>
      <c r="K1221" s="242"/>
      <c r="L1221" s="242"/>
      <c r="M1221" s="242"/>
      <c r="N1221" s="242"/>
      <c r="O1221" s="242"/>
      <c r="P1221" s="242"/>
      <c r="Q1221" s="242"/>
      <c r="R1221" s="242"/>
      <c r="S1221" s="242"/>
      <c r="T1221" s="242"/>
      <c r="U1221" s="242"/>
      <c r="V1221" s="242"/>
      <c r="W1221" s="242"/>
      <c r="X1221" s="242"/>
      <c r="Y1221" s="242"/>
      <c r="Z1221" s="242"/>
      <c r="AA1221" s="242"/>
      <c r="AB1221" s="242"/>
      <c r="AC1221" s="242"/>
      <c r="AD1221" s="242"/>
      <c r="AE1221" s="242"/>
      <c r="AF1221" s="242"/>
      <c r="AG1221" s="242"/>
      <c r="AH1221" s="242"/>
      <c r="AI1221" s="242"/>
      <c r="AK1221" s="242"/>
      <c r="AL1221" s="242"/>
      <c r="AM1221" s="302"/>
    </row>
    <row r="1222" spans="2:39" s="231" customFormat="1">
      <c r="B1222" s="3"/>
      <c r="C1222" s="3"/>
      <c r="D1222" s="3"/>
      <c r="E1222" s="377"/>
      <c r="F1222" s="377"/>
      <c r="G1222" s="377"/>
      <c r="H1222" s="377"/>
      <c r="I1222" s="377"/>
      <c r="J1222" s="377"/>
      <c r="K1222" s="377"/>
      <c r="L1222" s="377"/>
      <c r="M1222" s="377"/>
      <c r="N1222" s="377"/>
      <c r="O1222" s="377"/>
      <c r="P1222" s="377"/>
      <c r="Q1222" s="377"/>
      <c r="R1222" s="377"/>
      <c r="S1222" s="377"/>
      <c r="T1222" s="377"/>
      <c r="U1222" s="377"/>
      <c r="V1222" s="377"/>
      <c r="W1222" s="377"/>
      <c r="X1222" s="377"/>
      <c r="Y1222" s="377"/>
      <c r="Z1222" s="377"/>
      <c r="AA1222" s="377"/>
      <c r="AB1222" s="377"/>
      <c r="AC1222" s="377"/>
      <c r="AD1222" s="377"/>
      <c r="AE1222" s="377"/>
      <c r="AF1222" s="377"/>
      <c r="AG1222" s="377"/>
      <c r="AH1222" s="377"/>
      <c r="AI1222" s="377"/>
      <c r="AJ1222" s="378" t="s">
        <v>24</v>
      </c>
      <c r="AK1222" s="682">
        <f>AK1159+1</f>
        <v>19</v>
      </c>
      <c r="AL1222" s="682"/>
      <c r="AM1222" s="378" t="s">
        <v>24</v>
      </c>
    </row>
    <row r="1223" spans="2:39" s="361" customFormat="1">
      <c r="E1223" s="366"/>
      <c r="F1223" s="366"/>
      <c r="G1223" s="366"/>
      <c r="H1223" s="366"/>
      <c r="I1223" s="366"/>
      <c r="J1223" s="366"/>
      <c r="K1223" s="366"/>
      <c r="L1223" s="366"/>
      <c r="M1223" s="366"/>
      <c r="N1223" s="366"/>
      <c r="O1223" s="366"/>
      <c r="P1223" s="366"/>
      <c r="Q1223" s="366"/>
      <c r="R1223" s="366"/>
      <c r="S1223" s="366"/>
      <c r="T1223" s="366"/>
      <c r="U1223" s="366"/>
      <c r="V1223" s="366"/>
      <c r="W1223" s="366"/>
      <c r="X1223" s="366"/>
      <c r="Y1223" s="366"/>
      <c r="Z1223" s="366"/>
      <c r="AA1223" s="366"/>
      <c r="AB1223" s="366"/>
      <c r="AC1223" s="366"/>
      <c r="AD1223" s="366"/>
      <c r="AE1223" s="366"/>
      <c r="AF1223" s="366"/>
      <c r="AG1223" s="366"/>
      <c r="AH1223" s="366"/>
      <c r="AI1223" s="366"/>
      <c r="AJ1223" s="362"/>
      <c r="AK1223" s="362"/>
      <c r="AL1223" s="362"/>
      <c r="AM1223" s="362"/>
    </row>
    <row r="1224" spans="2:39" s="231" customFormat="1">
      <c r="E1224" s="265" t="str">
        <f>UPPER($Y$28)</f>
        <v>ПТ ЛОМБАРД "МЕРКУРІЙ"</v>
      </c>
      <c r="F1224" s="265"/>
      <c r="G1224" s="265"/>
      <c r="H1224" s="265"/>
      <c r="I1224" s="265"/>
      <c r="J1224" s="265"/>
      <c r="K1224" s="265"/>
      <c r="L1224" s="265"/>
      <c r="M1224" s="265"/>
      <c r="N1224" s="265"/>
      <c r="O1224" s="265"/>
      <c r="P1224" s="265"/>
      <c r="Q1224" s="265"/>
      <c r="R1224" s="265"/>
      <c r="S1224" s="265"/>
      <c r="T1224" s="265"/>
      <c r="U1224" s="265"/>
      <c r="V1224" s="265"/>
      <c r="W1224" s="265"/>
      <c r="X1224" s="265"/>
      <c r="Y1224" s="265"/>
      <c r="Z1224" s="265"/>
      <c r="AA1224" s="265"/>
      <c r="AB1224" s="265"/>
      <c r="AC1224" s="265"/>
      <c r="AD1224" s="265"/>
      <c r="AE1224" s="265"/>
      <c r="AF1224" s="265"/>
      <c r="AG1224" s="265"/>
      <c r="AH1224" s="265"/>
      <c r="AI1224" s="265"/>
      <c r="AJ1224" s="265"/>
      <c r="AK1224" s="265"/>
      <c r="AL1224" s="265"/>
      <c r="AM1224" s="265"/>
    </row>
    <row r="1225" spans="2:39" s="231" customFormat="1">
      <c r="E1225" s="269" t="s">
        <v>143</v>
      </c>
      <c r="F1225" s="269"/>
      <c r="G1225" s="269"/>
      <c r="H1225" s="269"/>
      <c r="I1225" s="269"/>
      <c r="J1225" s="269"/>
      <c r="K1225" s="269"/>
      <c r="L1225" s="269"/>
      <c r="M1225" s="269"/>
      <c r="N1225" s="269"/>
      <c r="O1225" s="269"/>
      <c r="P1225" s="269"/>
      <c r="Q1225" s="269"/>
      <c r="R1225" s="269"/>
      <c r="S1225" s="269"/>
      <c r="T1225" s="269"/>
      <c r="U1225" s="269"/>
      <c r="V1225" s="269"/>
      <c r="W1225" s="269"/>
      <c r="X1225" s="269"/>
      <c r="Y1225" s="269"/>
      <c r="Z1225" s="269"/>
      <c r="AA1225" s="269"/>
      <c r="AB1225" s="269"/>
      <c r="AC1225" s="269"/>
      <c r="AD1225" s="269"/>
      <c r="AE1225" s="269"/>
      <c r="AF1225" s="269"/>
      <c r="AG1225" s="269"/>
      <c r="AH1225" s="269"/>
      <c r="AI1225" s="269"/>
      <c r="AJ1225" s="269"/>
      <c r="AK1225" s="269"/>
      <c r="AL1225" s="269"/>
      <c r="AM1225" s="269"/>
    </row>
    <row r="1226" spans="2:39" s="231" customFormat="1">
      <c r="E1226" s="269" t="str">
        <f>$E$274</f>
        <v>ЗА РІК, ЩО ЗАКІНЧИВСЯ 31 ГРУДНЯ 2020 РОКУ</v>
      </c>
      <c r="F1226" s="269"/>
      <c r="G1226" s="269"/>
      <c r="H1226" s="269"/>
      <c r="I1226" s="269"/>
      <c r="J1226" s="269"/>
      <c r="K1226" s="269"/>
      <c r="L1226" s="269"/>
      <c r="M1226" s="269"/>
      <c r="N1226" s="269"/>
      <c r="O1226" s="269"/>
      <c r="P1226" s="269"/>
      <c r="Q1226" s="269"/>
      <c r="R1226" s="269"/>
      <c r="S1226" s="269"/>
      <c r="T1226" s="269"/>
      <c r="U1226" s="269"/>
      <c r="V1226" s="269"/>
      <c r="W1226" s="269"/>
      <c r="X1226" s="269"/>
      <c r="Y1226" s="269"/>
      <c r="Z1226" s="269"/>
      <c r="AA1226" s="269"/>
      <c r="AB1226" s="269"/>
      <c r="AC1226" s="269"/>
      <c r="AD1226" s="269"/>
      <c r="AE1226" s="269"/>
      <c r="AF1226" s="269"/>
      <c r="AG1226" s="269"/>
      <c r="AH1226" s="269"/>
      <c r="AI1226" s="269"/>
      <c r="AJ1226" s="269"/>
      <c r="AK1226" s="269"/>
      <c r="AL1226" s="269"/>
      <c r="AM1226" s="269"/>
    </row>
    <row r="1227" spans="2:39" s="231" customFormat="1">
      <c r="E1227" s="244" t="str">
        <f>$E$209</f>
        <v>(в тисячах гривень, якщо не вказано інше)</v>
      </c>
      <c r="F1227" s="244"/>
      <c r="G1227" s="244"/>
      <c r="H1227" s="244"/>
      <c r="I1227" s="244"/>
      <c r="J1227" s="244"/>
      <c r="K1227" s="244"/>
      <c r="L1227" s="244"/>
      <c r="M1227" s="244"/>
      <c r="N1227" s="244"/>
      <c r="O1227" s="244"/>
      <c r="P1227" s="244"/>
      <c r="Q1227" s="244"/>
      <c r="R1227" s="244"/>
      <c r="S1227" s="244"/>
      <c r="T1227" s="244"/>
      <c r="U1227" s="244"/>
      <c r="V1227" s="244"/>
      <c r="W1227" s="244"/>
      <c r="X1227" s="244"/>
      <c r="Y1227" s="244"/>
      <c r="Z1227" s="244"/>
      <c r="AA1227" s="244"/>
      <c r="AB1227" s="244"/>
      <c r="AC1227" s="244"/>
      <c r="AD1227" s="244"/>
      <c r="AE1227" s="244"/>
      <c r="AF1227" s="244"/>
      <c r="AG1227" s="244"/>
      <c r="AH1227" s="244"/>
      <c r="AI1227" s="244"/>
      <c r="AJ1227" s="244"/>
      <c r="AK1227" s="244"/>
      <c r="AL1227" s="244"/>
      <c r="AM1227" s="244"/>
    </row>
    <row r="1228" spans="2:39" s="231" customFormat="1">
      <c r="B1228" s="3"/>
      <c r="C1228" s="3"/>
      <c r="D1228" s="3"/>
      <c r="AG1228" s="237"/>
      <c r="AH1228" s="237"/>
      <c r="AI1228" s="237"/>
      <c r="AJ1228" s="237"/>
      <c r="AK1228" s="237"/>
      <c r="AM1228" s="237"/>
    </row>
    <row r="1229" spans="2:39" s="231" customFormat="1" outlineLevel="1">
      <c r="B1229" s="3"/>
      <c r="C1229" s="3"/>
      <c r="D1229" s="3"/>
      <c r="F1229" s="669" t="s">
        <v>10</v>
      </c>
      <c r="G1229" s="669"/>
      <c r="H1229" s="268" t="s">
        <v>348</v>
      </c>
      <c r="I1229" s="268"/>
      <c r="J1229" s="268"/>
      <c r="K1229" s="268"/>
      <c r="L1229" s="268"/>
      <c r="M1229" s="268"/>
      <c r="N1229" s="268"/>
      <c r="O1229" s="268"/>
      <c r="P1229" s="268"/>
      <c r="Q1229" s="268"/>
      <c r="R1229" s="268"/>
      <c r="S1229" s="268"/>
      <c r="T1229" s="268"/>
      <c r="U1229" s="268"/>
      <c r="V1229" s="268"/>
      <c r="W1229" s="268"/>
      <c r="X1229" s="268"/>
      <c r="Y1229" s="268"/>
      <c r="Z1229" s="268"/>
      <c r="AA1229" s="268"/>
      <c r="AB1229" s="268"/>
      <c r="AC1229" s="268"/>
      <c r="AD1229" s="268"/>
      <c r="AE1229" s="268"/>
      <c r="AF1229" s="268"/>
      <c r="AG1229" s="268"/>
      <c r="AH1229" s="268"/>
      <c r="AI1229" s="268"/>
      <c r="AJ1229" s="268"/>
      <c r="AK1229" s="268"/>
      <c r="AL1229" s="268"/>
      <c r="AM1229" s="268"/>
    </row>
    <row r="1230" spans="2:39" s="231" customFormat="1" ht="11.25" customHeight="1" outlineLevel="1">
      <c r="B1230" s="3"/>
      <c r="C1230" s="3"/>
      <c r="D1230" s="3"/>
    </row>
    <row r="1231" spans="2:39" s="231" customFormat="1" ht="14.1" customHeight="1" outlineLevel="1">
      <c r="B1231" s="3"/>
      <c r="C1231" s="3"/>
      <c r="D1231" s="3"/>
      <c r="F1231" s="273" t="s">
        <v>1650</v>
      </c>
      <c r="G1231" s="273"/>
      <c r="H1231" s="273"/>
      <c r="I1231" s="273"/>
      <c r="J1231" s="273"/>
      <c r="K1231" s="273"/>
      <c r="L1231" s="273"/>
      <c r="M1231" s="273"/>
      <c r="N1231" s="273"/>
      <c r="O1231" s="273"/>
      <c r="P1231" s="273"/>
      <c r="Q1231" s="273"/>
      <c r="R1231" s="273"/>
      <c r="S1231" s="273"/>
      <c r="T1231" s="273"/>
      <c r="U1231" s="273"/>
      <c r="V1231" s="273"/>
      <c r="W1231" s="273"/>
      <c r="X1231" s="273"/>
      <c r="Y1231" s="273"/>
      <c r="Z1231" s="273"/>
      <c r="AA1231" s="273"/>
      <c r="AB1231" s="273"/>
      <c r="AC1231" s="273"/>
      <c r="AD1231" s="273"/>
      <c r="AE1231" s="273"/>
      <c r="AF1231" s="273"/>
      <c r="AG1231" s="273"/>
      <c r="AH1231" s="273"/>
      <c r="AI1231" s="273"/>
      <c r="AJ1231" s="273"/>
      <c r="AK1231" s="273"/>
      <c r="AL1231" s="273"/>
      <c r="AM1231" s="273"/>
    </row>
    <row r="1232" spans="2:39" s="231" customFormat="1" outlineLevel="1">
      <c r="B1232" s="3"/>
      <c r="C1232" s="3"/>
      <c r="D1232" s="3"/>
    </row>
    <row r="1233" spans="1:39" s="231" customFormat="1" ht="14.1" customHeight="1" outlineLevel="1">
      <c r="A1233" s="1" t="s">
        <v>349</v>
      </c>
      <c r="B1233" s="1"/>
      <c r="C1233" s="2"/>
      <c r="D1233" s="1"/>
      <c r="E1233" s="267"/>
      <c r="F1233" s="304"/>
      <c r="G1233" s="304"/>
      <c r="H1233" s="267"/>
      <c r="I1233" s="267"/>
      <c r="J1233" s="267"/>
      <c r="K1233" s="267"/>
      <c r="L1233" s="267"/>
      <c r="M1233" s="267"/>
      <c r="N1233" s="242"/>
      <c r="O1233" s="242"/>
      <c r="P1233" s="242"/>
      <c r="Q1233" s="242"/>
      <c r="R1233" s="680" t="s">
        <v>177</v>
      </c>
      <c r="S1233" s="680"/>
      <c r="T1233" s="680"/>
      <c r="U1233" s="680" t="s">
        <v>350</v>
      </c>
      <c r="V1233" s="680"/>
      <c r="W1233" s="680"/>
      <c r="X1233" s="680" t="s">
        <v>351</v>
      </c>
      <c r="Y1233" s="680"/>
      <c r="Z1233" s="680"/>
      <c r="AA1233" s="680" t="s">
        <v>352</v>
      </c>
      <c r="AB1233" s="680"/>
      <c r="AC1233" s="680"/>
      <c r="AK1233" s="307"/>
      <c r="AL1233" s="307"/>
      <c r="AM1233" s="307"/>
    </row>
    <row r="1234" spans="1:39" s="231" customFormat="1" outlineLevel="1">
      <c r="A1234" s="1"/>
      <c r="B1234" s="1"/>
      <c r="C1234" s="2"/>
      <c r="D1234" s="1"/>
      <c r="E1234" s="304"/>
      <c r="F1234" s="304"/>
      <c r="G1234" s="304"/>
      <c r="H1234" s="242"/>
      <c r="I1234" s="242"/>
      <c r="J1234" s="242"/>
      <c r="K1234" s="242"/>
      <c r="L1234" s="242"/>
      <c r="M1234" s="242"/>
      <c r="N1234" s="242"/>
      <c r="O1234" s="242"/>
      <c r="P1234" s="242"/>
      <c r="Q1234" s="242"/>
      <c r="R1234" s="680"/>
      <c r="S1234" s="680"/>
      <c r="T1234" s="680"/>
      <c r="U1234" s="680"/>
      <c r="V1234" s="680"/>
      <c r="W1234" s="680"/>
      <c r="X1234" s="680"/>
      <c r="Y1234" s="680"/>
      <c r="Z1234" s="680"/>
      <c r="AA1234" s="680"/>
      <c r="AB1234" s="680"/>
      <c r="AC1234" s="680"/>
      <c r="AK1234" s="307"/>
      <c r="AL1234" s="307"/>
      <c r="AM1234" s="307"/>
    </row>
    <row r="1235" spans="1:39" s="231" customFormat="1" outlineLevel="1">
      <c r="A1235" s="1"/>
      <c r="B1235" s="1"/>
      <c r="C1235" s="2"/>
      <c r="D1235" s="1"/>
      <c r="E1235" s="304"/>
      <c r="F1235" s="304"/>
      <c r="G1235" s="304"/>
      <c r="H1235" s="242"/>
      <c r="I1235" s="242"/>
      <c r="J1235" s="242"/>
      <c r="K1235" s="242"/>
      <c r="L1235" s="242"/>
      <c r="M1235" s="242"/>
      <c r="N1235" s="242"/>
      <c r="O1235" s="242"/>
      <c r="P1235" s="242"/>
      <c r="Q1235" s="242"/>
      <c r="R1235" s="680"/>
      <c r="S1235" s="680"/>
      <c r="T1235" s="680"/>
      <c r="U1235" s="680"/>
      <c r="V1235" s="680"/>
      <c r="W1235" s="680"/>
      <c r="X1235" s="680"/>
      <c r="Y1235" s="680"/>
      <c r="Z1235" s="680"/>
      <c r="AA1235" s="680"/>
      <c r="AB1235" s="680"/>
      <c r="AC1235" s="680"/>
      <c r="AK1235" s="307"/>
      <c r="AL1235" s="307"/>
      <c r="AM1235" s="307"/>
    </row>
    <row r="1236" spans="1:39" s="231" customFormat="1" outlineLevel="1">
      <c r="A1236" s="1"/>
      <c r="B1236" s="1"/>
      <c r="C1236" s="2"/>
      <c r="D1236" s="1"/>
      <c r="E1236" s="304"/>
      <c r="F1236" s="304"/>
      <c r="G1236" s="304"/>
      <c r="H1236" s="242"/>
      <c r="I1236" s="242"/>
      <c r="J1236" s="242"/>
      <c r="K1236" s="242"/>
      <c r="L1236" s="242"/>
      <c r="M1236" s="242"/>
      <c r="N1236" s="242"/>
      <c r="O1236" s="242"/>
      <c r="P1236" s="242"/>
      <c r="Q1236" s="242"/>
      <c r="R1236" s="680"/>
      <c r="S1236" s="680"/>
      <c r="T1236" s="680"/>
      <c r="U1236" s="680"/>
      <c r="V1236" s="680"/>
      <c r="W1236" s="680"/>
      <c r="X1236" s="680"/>
      <c r="Y1236" s="680"/>
      <c r="Z1236" s="680"/>
      <c r="AA1236" s="680"/>
      <c r="AB1236" s="680"/>
      <c r="AC1236" s="680"/>
      <c r="AK1236" s="307"/>
      <c r="AL1236" s="307"/>
      <c r="AM1236" s="307"/>
    </row>
    <row r="1237" spans="1:39" s="231" customFormat="1" outlineLevel="1">
      <c r="A1237" s="1"/>
      <c r="B1237" s="1"/>
      <c r="C1237" s="2"/>
      <c r="D1237" s="1"/>
      <c r="E1237" s="304"/>
      <c r="F1237" s="304"/>
      <c r="G1237" s="304"/>
      <c r="H1237" s="242"/>
      <c r="I1237" s="242"/>
      <c r="J1237" s="242"/>
      <c r="K1237" s="242"/>
      <c r="L1237" s="242"/>
      <c r="M1237" s="242"/>
      <c r="N1237" s="242"/>
      <c r="O1237" s="242"/>
      <c r="P1237" s="242"/>
      <c r="Q1237" s="242"/>
      <c r="R1237" s="680"/>
      <c r="S1237" s="680"/>
      <c r="T1237" s="680"/>
      <c r="U1237" s="680"/>
      <c r="V1237" s="680"/>
      <c r="W1237" s="680"/>
      <c r="X1237" s="680"/>
      <c r="Y1237" s="680"/>
      <c r="Z1237" s="680"/>
      <c r="AA1237" s="680"/>
      <c r="AB1237" s="680"/>
      <c r="AC1237" s="680"/>
      <c r="AK1237" s="307"/>
      <c r="AL1237" s="307"/>
      <c r="AM1237" s="307"/>
    </row>
    <row r="1238" spans="1:39" s="231" customFormat="1" outlineLevel="1">
      <c r="A1238" s="1"/>
      <c r="B1238" s="1"/>
      <c r="C1238" s="2"/>
      <c r="D1238" s="1"/>
      <c r="E1238" s="304"/>
      <c r="F1238" s="304"/>
      <c r="G1238" s="304"/>
      <c r="H1238" s="242"/>
      <c r="I1238" s="242"/>
      <c r="J1238" s="242"/>
      <c r="K1238" s="242"/>
      <c r="L1238" s="242"/>
      <c r="M1238" s="242"/>
      <c r="N1238" s="242"/>
      <c r="O1238" s="242"/>
      <c r="P1238" s="242"/>
      <c r="Q1238" s="242"/>
      <c r="R1238" s="680"/>
      <c r="S1238" s="680"/>
      <c r="T1238" s="680"/>
      <c r="U1238" s="680"/>
      <c r="V1238" s="680"/>
      <c r="W1238" s="680"/>
      <c r="X1238" s="680"/>
      <c r="Y1238" s="680"/>
      <c r="Z1238" s="680"/>
      <c r="AA1238" s="680"/>
      <c r="AB1238" s="680"/>
      <c r="AC1238" s="680"/>
      <c r="AK1238" s="307"/>
      <c r="AL1238" s="307"/>
      <c r="AM1238" s="307"/>
    </row>
    <row r="1239" spans="1:39" s="231" customFormat="1" outlineLevel="1">
      <c r="A1239" s="1"/>
      <c r="B1239" s="1"/>
      <c r="C1239" s="2"/>
      <c r="D1239" s="1"/>
      <c r="E1239" s="304"/>
      <c r="F1239" s="304"/>
      <c r="G1239" s="304"/>
      <c r="H1239" s="242"/>
      <c r="I1239" s="242"/>
      <c r="J1239" s="242"/>
      <c r="K1239" s="242"/>
      <c r="L1239" s="242"/>
      <c r="M1239" s="242"/>
      <c r="N1239" s="242"/>
      <c r="O1239" s="242"/>
      <c r="P1239" s="242"/>
      <c r="Q1239" s="242"/>
      <c r="R1239" s="681"/>
      <c r="S1239" s="681"/>
      <c r="T1239" s="681"/>
      <c r="U1239" s="681"/>
      <c r="V1239" s="681"/>
      <c r="W1239" s="681"/>
      <c r="X1239" s="681"/>
      <c r="Y1239" s="681"/>
      <c r="Z1239" s="681"/>
      <c r="AA1239" s="680"/>
      <c r="AB1239" s="680"/>
      <c r="AC1239" s="680"/>
      <c r="AK1239" s="308"/>
      <c r="AL1239" s="308"/>
      <c r="AM1239" s="308"/>
    </row>
    <row r="1240" spans="1:39" s="70" customFormat="1" ht="12.75" hidden="1" customHeight="1" outlineLevel="1">
      <c r="A1240" s="68"/>
      <c r="B1240" s="68"/>
      <c r="C1240" s="69"/>
      <c r="D1240" s="68" t="s">
        <v>353</v>
      </c>
      <c r="O1240" s="686" t="s">
        <v>354</v>
      </c>
      <c r="P1240" s="686"/>
      <c r="Q1240" s="686"/>
      <c r="R1240" s="686"/>
      <c r="S1240" s="686" t="s">
        <v>355</v>
      </c>
      <c r="T1240" s="686"/>
      <c r="U1240" s="686"/>
      <c r="V1240" s="686"/>
      <c r="W1240" s="686" t="s">
        <v>356</v>
      </c>
      <c r="X1240" s="686"/>
      <c r="Y1240" s="686"/>
      <c r="Z1240" s="686"/>
      <c r="AA1240" s="686" t="s">
        <v>357</v>
      </c>
      <c r="AB1240" s="686"/>
      <c r="AC1240" s="686"/>
      <c r="AD1240" s="686"/>
      <c r="AE1240" s="686" t="s">
        <v>358</v>
      </c>
      <c r="AF1240" s="686"/>
      <c r="AG1240" s="686"/>
      <c r="AH1240" s="686"/>
      <c r="AI1240" s="686" t="s">
        <v>359</v>
      </c>
      <c r="AJ1240" s="686"/>
      <c r="AK1240" s="686"/>
      <c r="AL1240" s="686"/>
    </row>
    <row r="1241" spans="1:39" s="70" customFormat="1" ht="12.75" hidden="1" customHeight="1" outlineLevel="1">
      <c r="A1241" s="68"/>
      <c r="B1241" s="68"/>
      <c r="C1241" s="69"/>
      <c r="D1241" s="68" t="s">
        <v>353</v>
      </c>
      <c r="AE1241" s="686" t="s">
        <v>360</v>
      </c>
      <c r="AF1241" s="686"/>
      <c r="AG1241" s="686"/>
      <c r="AH1241" s="686"/>
    </row>
    <row r="1242" spans="1:39" s="231" customFormat="1" ht="15" outlineLevel="1">
      <c r="A1242" s="1"/>
      <c r="B1242" s="1"/>
      <c r="C1242" s="2"/>
      <c r="D1242" s="1"/>
      <c r="E1242" s="242"/>
      <c r="F1242" s="688" t="s">
        <v>361</v>
      </c>
      <c r="G1242" s="688"/>
      <c r="H1242" s="688"/>
      <c r="I1242" s="688"/>
      <c r="J1242" s="688"/>
      <c r="K1242" s="688"/>
      <c r="L1242" s="688"/>
      <c r="M1242" s="688"/>
      <c r="N1242" s="688"/>
      <c r="O1242" s="609"/>
      <c r="P1242" s="609"/>
      <c r="Q1242" s="609"/>
      <c r="R1242" s="242"/>
      <c r="S1242" s="242"/>
      <c r="T1242" s="242"/>
      <c r="U1242" s="242"/>
      <c r="V1242" s="242"/>
      <c r="W1242" s="242"/>
      <c r="X1242" s="242"/>
      <c r="Y1242" s="242"/>
      <c r="Z1242" s="242"/>
      <c r="AA1242" s="242"/>
      <c r="AB1242" s="242"/>
      <c r="AC1242" s="242"/>
      <c r="AD1242" s="242"/>
      <c r="AE1242" s="305"/>
      <c r="AF1242" s="305"/>
      <c r="AG1242" s="305"/>
      <c r="AH1242" s="305"/>
      <c r="AI1242" s="242"/>
      <c r="AJ1242" s="242"/>
      <c r="AK1242" s="242"/>
      <c r="AL1242" s="242"/>
      <c r="AM1242" s="242"/>
    </row>
    <row r="1243" spans="1:39" s="231" customFormat="1" ht="5.25" customHeight="1" outlineLevel="1">
      <c r="A1243" s="1"/>
      <c r="B1243" s="1"/>
      <c r="C1243" s="2"/>
      <c r="D1243" s="1"/>
      <c r="E1243" s="242"/>
      <c r="F1243" s="242"/>
      <c r="G1243" s="242"/>
      <c r="H1243" s="242"/>
      <c r="I1243" s="242"/>
      <c r="J1243" s="242"/>
      <c r="K1243" s="242"/>
      <c r="L1243" s="242"/>
      <c r="M1243" s="242"/>
      <c r="N1243" s="242"/>
      <c r="O1243" s="302"/>
      <c r="P1243" s="302"/>
      <c r="Q1243" s="302"/>
      <c r="R1243" s="242"/>
      <c r="S1243" s="242"/>
      <c r="T1243" s="242"/>
      <c r="U1243" s="242"/>
      <c r="V1243" s="242"/>
      <c r="W1243" s="242"/>
      <c r="X1243" s="242"/>
      <c r="Y1243" s="242"/>
      <c r="Z1243" s="242"/>
      <c r="AA1243" s="242"/>
      <c r="AB1243" s="242"/>
      <c r="AC1243" s="242"/>
      <c r="AD1243" s="242"/>
      <c r="AE1243" s="305"/>
      <c r="AF1243" s="305"/>
      <c r="AG1243" s="305"/>
      <c r="AH1243" s="305"/>
      <c r="AI1243" s="242"/>
      <c r="AJ1243" s="242"/>
      <c r="AK1243" s="242"/>
      <c r="AL1243" s="242"/>
      <c r="AM1243" s="242"/>
    </row>
    <row r="1244" spans="1:39" ht="12.75" hidden="1" customHeight="1" outlineLevel="2">
      <c r="E1244" s="20"/>
      <c r="F1244" s="579"/>
      <c r="G1244" s="579"/>
      <c r="H1244" s="579"/>
      <c r="I1244" s="579"/>
      <c r="J1244" s="579"/>
      <c r="K1244" s="579"/>
      <c r="L1244" s="579"/>
      <c r="M1244" s="579"/>
      <c r="N1244" s="579"/>
      <c r="O1244" s="21"/>
      <c r="P1244" s="71"/>
      <c r="Q1244" s="71"/>
      <c r="R1244" s="626"/>
      <c r="S1244" s="678"/>
      <c r="T1244" s="678"/>
      <c r="U1244" s="626"/>
      <c r="V1244" s="678"/>
      <c r="W1244" s="678"/>
      <c r="X1244" s="626"/>
      <c r="Y1244" s="678"/>
      <c r="Z1244" s="678"/>
      <c r="AA1244" s="626"/>
      <c r="AB1244" s="678"/>
      <c r="AC1244" s="678"/>
      <c r="AD1244" s="626"/>
      <c r="AE1244" s="678"/>
      <c r="AF1244" s="678"/>
      <c r="AG1244" s="626"/>
      <c r="AH1244" s="626"/>
      <c r="AI1244" s="626"/>
      <c r="AJ1244" s="626"/>
      <c r="AK1244" s="679"/>
      <c r="AL1244" s="679"/>
      <c r="AM1244" s="679"/>
    </row>
    <row r="1245" spans="1:39" ht="12.75" hidden="1" customHeight="1" outlineLevel="2">
      <c r="E1245" s="20"/>
      <c r="F1245" s="684"/>
      <c r="G1245" s="684"/>
      <c r="H1245" s="684"/>
      <c r="I1245" s="684"/>
      <c r="J1245" s="684"/>
      <c r="K1245" s="684"/>
      <c r="L1245" s="684"/>
      <c r="M1245" s="684"/>
      <c r="N1245" s="684"/>
      <c r="O1245" s="23"/>
      <c r="P1245" s="71"/>
      <c r="Q1245" s="71"/>
      <c r="R1245" s="566"/>
      <c r="S1245" s="685"/>
      <c r="T1245" s="685"/>
      <c r="U1245" s="566"/>
      <c r="V1245" s="685"/>
      <c r="W1245" s="685"/>
      <c r="X1245" s="566"/>
      <c r="Y1245" s="685"/>
      <c r="Z1245" s="685"/>
      <c r="AA1245" s="566"/>
      <c r="AB1245" s="685"/>
      <c r="AC1245" s="685"/>
      <c r="AD1245" s="566"/>
      <c r="AE1245" s="685"/>
      <c r="AF1245" s="685"/>
      <c r="AG1245" s="566"/>
      <c r="AH1245" s="566"/>
      <c r="AI1245" s="566"/>
      <c r="AJ1245" s="566"/>
      <c r="AK1245" s="585"/>
      <c r="AL1245" s="585"/>
      <c r="AM1245" s="585"/>
    </row>
    <row r="1246" spans="1:39" ht="12.75" hidden="1" customHeight="1" outlineLevel="2">
      <c r="E1246" s="20"/>
      <c r="F1246" s="684"/>
      <c r="G1246" s="684"/>
      <c r="H1246" s="684"/>
      <c r="I1246" s="684"/>
      <c r="J1246" s="684"/>
      <c r="K1246" s="684"/>
      <c r="L1246" s="684"/>
      <c r="M1246" s="684"/>
      <c r="N1246" s="684"/>
      <c r="O1246" s="23"/>
      <c r="P1246" s="71"/>
      <c r="Q1246" s="71"/>
      <c r="R1246" s="566"/>
      <c r="S1246" s="685"/>
      <c r="T1246" s="685"/>
      <c r="U1246" s="566"/>
      <c r="V1246" s="685"/>
      <c r="W1246" s="685"/>
      <c r="X1246" s="566"/>
      <c r="Y1246" s="685"/>
      <c r="Z1246" s="685"/>
      <c r="AA1246" s="566"/>
      <c r="AB1246" s="685"/>
      <c r="AC1246" s="685"/>
      <c r="AD1246" s="566"/>
      <c r="AE1246" s="685"/>
      <c r="AF1246" s="685"/>
      <c r="AG1246" s="566"/>
      <c r="AH1246" s="566"/>
      <c r="AI1246" s="566"/>
      <c r="AJ1246" s="566"/>
      <c r="AK1246" s="585"/>
      <c r="AL1246" s="585"/>
      <c r="AM1246" s="585"/>
    </row>
    <row r="1247" spans="1:39" ht="12.75" hidden="1" customHeight="1" outlineLevel="2">
      <c r="A1247" s="3"/>
      <c r="B1247" s="3"/>
      <c r="C1247" s="3"/>
      <c r="D1247" s="3"/>
      <c r="E1247" s="20"/>
      <c r="F1247" s="684"/>
      <c r="G1247" s="684"/>
      <c r="H1247" s="684"/>
      <c r="I1247" s="684"/>
      <c r="J1247" s="684"/>
      <c r="K1247" s="684"/>
      <c r="L1247" s="684"/>
      <c r="M1247" s="684"/>
      <c r="N1247" s="684"/>
      <c r="O1247" s="23"/>
      <c r="P1247" s="71"/>
      <c r="Q1247" s="71"/>
      <c r="R1247" s="566"/>
      <c r="S1247" s="685"/>
      <c r="T1247" s="685"/>
      <c r="U1247" s="566"/>
      <c r="V1247" s="685"/>
      <c r="W1247" s="685"/>
      <c r="X1247" s="566"/>
      <c r="Y1247" s="685"/>
      <c r="Z1247" s="685"/>
      <c r="AA1247" s="566"/>
      <c r="AB1247" s="685"/>
      <c r="AC1247" s="685"/>
      <c r="AD1247" s="566"/>
      <c r="AE1247" s="685"/>
      <c r="AF1247" s="685"/>
      <c r="AG1247" s="566"/>
      <c r="AH1247" s="566"/>
      <c r="AI1247" s="566"/>
      <c r="AJ1247" s="566"/>
      <c r="AK1247" s="585"/>
      <c r="AL1247" s="585"/>
      <c r="AM1247" s="585"/>
    </row>
    <row r="1248" spans="1:39" ht="12.75" hidden="1" customHeight="1" outlineLevel="2">
      <c r="A1248" s="3"/>
      <c r="B1248" s="3"/>
      <c r="C1248" s="3"/>
      <c r="D1248" s="3"/>
      <c r="E1248" s="20"/>
      <c r="F1248" s="625"/>
      <c r="G1248" s="625"/>
      <c r="H1248" s="625"/>
      <c r="I1248" s="625"/>
      <c r="J1248" s="625"/>
      <c r="K1248" s="625"/>
      <c r="L1248" s="625"/>
      <c r="M1248" s="625"/>
      <c r="N1248" s="625"/>
      <c r="O1248" s="23"/>
      <c r="P1248" s="71"/>
      <c r="Q1248" s="71"/>
      <c r="R1248" s="23"/>
      <c r="S1248" s="71"/>
      <c r="T1248" s="71"/>
      <c r="U1248" s="23"/>
      <c r="V1248" s="71"/>
      <c r="W1248" s="71"/>
      <c r="X1248" s="23"/>
      <c r="Y1248" s="71"/>
      <c r="Z1248" s="71"/>
      <c r="AA1248" s="23"/>
      <c r="AB1248" s="71"/>
      <c r="AC1248" s="71"/>
      <c r="AD1248" s="23"/>
      <c r="AE1248" s="71"/>
      <c r="AF1248" s="71"/>
      <c r="AG1248" s="566"/>
      <c r="AH1248" s="566"/>
      <c r="AI1248" s="566"/>
      <c r="AJ1248" s="566"/>
      <c r="AK1248" s="585"/>
      <c r="AL1248" s="585"/>
      <c r="AM1248" s="585"/>
    </row>
    <row r="1249" spans="1:40" ht="12.75" hidden="1" customHeight="1" outlineLevel="2">
      <c r="A1249" s="3"/>
      <c r="B1249" s="3"/>
      <c r="C1249" s="3"/>
      <c r="D1249" s="3"/>
      <c r="E1249" s="20"/>
      <c r="F1249" s="625"/>
      <c r="G1249" s="625"/>
      <c r="H1249" s="625"/>
      <c r="I1249" s="625"/>
      <c r="J1249" s="625"/>
      <c r="K1249" s="625"/>
      <c r="L1249" s="625"/>
      <c r="M1249" s="625"/>
      <c r="N1249" s="625"/>
      <c r="O1249" s="23"/>
      <c r="P1249" s="71"/>
      <c r="Q1249" s="71"/>
      <c r="R1249" s="566"/>
      <c r="S1249" s="685"/>
      <c r="T1249" s="685"/>
      <c r="U1249" s="566"/>
      <c r="V1249" s="685"/>
      <c r="W1249" s="685"/>
      <c r="X1249" s="566"/>
      <c r="Y1249" s="685"/>
      <c r="Z1249" s="685"/>
      <c r="AA1249" s="566"/>
      <c r="AB1249" s="685"/>
      <c r="AC1249" s="685"/>
      <c r="AD1249" s="566"/>
      <c r="AE1249" s="685"/>
      <c r="AF1249" s="685"/>
      <c r="AG1249" s="566"/>
      <c r="AH1249" s="566"/>
      <c r="AI1249" s="566"/>
      <c r="AJ1249" s="566"/>
      <c r="AK1249" s="585"/>
      <c r="AL1249" s="585"/>
      <c r="AM1249" s="585"/>
    </row>
    <row r="1250" spans="1:40" s="231" customFormat="1" outlineLevel="1" collapsed="1">
      <c r="B1250" s="3"/>
      <c r="C1250" s="3"/>
      <c r="D1250" s="3"/>
      <c r="E1250" s="242"/>
      <c r="F1250" s="579" t="s">
        <v>1419</v>
      </c>
      <c r="G1250" s="579"/>
      <c r="H1250" s="579"/>
      <c r="I1250" s="579"/>
      <c r="J1250" s="579"/>
      <c r="K1250" s="579"/>
      <c r="L1250" s="579"/>
      <c r="M1250" s="579"/>
      <c r="N1250" s="579"/>
      <c r="O1250" s="241"/>
      <c r="P1250" s="238"/>
      <c r="Q1250" s="238"/>
      <c r="R1250" s="598">
        <v>125</v>
      </c>
      <c r="S1250" s="689"/>
      <c r="T1250" s="689"/>
      <c r="U1250" s="598">
        <v>3</v>
      </c>
      <c r="V1250" s="689"/>
      <c r="W1250" s="689"/>
      <c r="X1250" s="598">
        <v>2591</v>
      </c>
      <c r="Y1250" s="689"/>
      <c r="Z1250" s="689"/>
      <c r="AA1250" s="598">
        <f>R1250+U1250+X1250</f>
        <v>2719</v>
      </c>
      <c r="AB1250" s="689"/>
      <c r="AC1250" s="689"/>
      <c r="AD1250" s="598"/>
      <c r="AE1250" s="689"/>
      <c r="AF1250" s="689"/>
      <c r="AG1250" s="690"/>
      <c r="AH1250" s="690"/>
      <c r="AI1250" s="690"/>
      <c r="AJ1250" s="690"/>
      <c r="AK1250" s="240"/>
      <c r="AL1250" s="240"/>
      <c r="AM1250" s="240"/>
    </row>
    <row r="1251" spans="1:40" s="231" customFormat="1" outlineLevel="1">
      <c r="B1251" s="3"/>
      <c r="C1251" s="3"/>
      <c r="D1251" s="3"/>
      <c r="E1251" s="242"/>
      <c r="F1251" s="684" t="s">
        <v>362</v>
      </c>
      <c r="G1251" s="684"/>
      <c r="H1251" s="684"/>
      <c r="I1251" s="684"/>
      <c r="J1251" s="684"/>
      <c r="K1251" s="684"/>
      <c r="L1251" s="684"/>
      <c r="M1251" s="684"/>
      <c r="N1251" s="684"/>
      <c r="O1251" s="237"/>
      <c r="P1251" s="238"/>
      <c r="Q1251" s="238"/>
      <c r="R1251" s="566"/>
      <c r="S1251" s="685"/>
      <c r="T1251" s="685"/>
      <c r="U1251" s="566">
        <v>33</v>
      </c>
      <c r="V1251" s="685"/>
      <c r="W1251" s="685"/>
      <c r="X1251" s="566"/>
      <c r="Y1251" s="685"/>
      <c r="Z1251" s="685"/>
      <c r="AA1251" s="566">
        <f>X1251</f>
        <v>0</v>
      </c>
      <c r="AB1251" s="685"/>
      <c r="AC1251" s="685"/>
      <c r="AD1251" s="566"/>
      <c r="AE1251" s="685"/>
      <c r="AF1251" s="685"/>
      <c r="AG1251" s="566"/>
      <c r="AH1251" s="566"/>
      <c r="AI1251" s="566"/>
      <c r="AJ1251" s="566"/>
      <c r="AK1251" s="222"/>
      <c r="AL1251" s="222"/>
      <c r="AM1251" s="222"/>
    </row>
    <row r="1252" spans="1:40" s="231" customFormat="1" outlineLevel="1">
      <c r="B1252" s="3"/>
      <c r="C1252" s="3"/>
      <c r="D1252" s="3"/>
      <c r="E1252" s="242"/>
      <c r="F1252" s="684" t="s">
        <v>363</v>
      </c>
      <c r="G1252" s="684"/>
      <c r="H1252" s="684"/>
      <c r="I1252" s="684"/>
      <c r="J1252" s="684"/>
      <c r="K1252" s="684"/>
      <c r="L1252" s="684"/>
      <c r="M1252" s="684"/>
      <c r="N1252" s="684"/>
      <c r="O1252" s="237"/>
      <c r="P1252" s="238"/>
      <c r="Q1252" s="238"/>
      <c r="R1252" s="566"/>
      <c r="S1252" s="685"/>
      <c r="T1252" s="685"/>
      <c r="U1252" s="566"/>
      <c r="V1252" s="685"/>
      <c r="W1252" s="685"/>
      <c r="X1252" s="566"/>
      <c r="Y1252" s="685"/>
      <c r="Z1252" s="685"/>
      <c r="AA1252" s="566"/>
      <c r="AB1252" s="685"/>
      <c r="AC1252" s="685"/>
      <c r="AD1252" s="566"/>
      <c r="AE1252" s="685"/>
      <c r="AF1252" s="685"/>
      <c r="AG1252" s="566"/>
      <c r="AH1252" s="566"/>
      <c r="AI1252" s="566"/>
      <c r="AJ1252" s="566"/>
      <c r="AK1252" s="222"/>
      <c r="AL1252" s="222"/>
      <c r="AM1252" s="222"/>
    </row>
    <row r="1253" spans="1:40" s="231" customFormat="1" outlineLevel="1">
      <c r="B1253" s="3"/>
      <c r="C1253" s="3"/>
      <c r="D1253" s="3"/>
      <c r="E1253" s="242"/>
      <c r="F1253" s="684" t="s">
        <v>364</v>
      </c>
      <c r="G1253" s="684"/>
      <c r="H1253" s="684"/>
      <c r="I1253" s="684"/>
      <c r="J1253" s="684"/>
      <c r="K1253" s="684"/>
      <c r="L1253" s="684"/>
      <c r="M1253" s="684"/>
      <c r="N1253" s="684"/>
      <c r="O1253" s="237"/>
      <c r="P1253" s="238"/>
      <c r="Q1253" s="238"/>
      <c r="R1253" s="566"/>
      <c r="S1253" s="685"/>
      <c r="T1253" s="685"/>
      <c r="U1253" s="566"/>
      <c r="V1253" s="685"/>
      <c r="W1253" s="685"/>
      <c r="X1253" s="566">
        <f>-3</f>
        <v>-3</v>
      </c>
      <c r="Y1253" s="685"/>
      <c r="Z1253" s="685"/>
      <c r="AA1253" s="566">
        <f>X1253</f>
        <v>-3</v>
      </c>
      <c r="AB1253" s="685"/>
      <c r="AC1253" s="685"/>
      <c r="AD1253" s="566"/>
      <c r="AE1253" s="685"/>
      <c r="AF1253" s="685"/>
      <c r="AG1253" s="566"/>
      <c r="AH1253" s="566"/>
      <c r="AI1253" s="566"/>
      <c r="AJ1253" s="566"/>
      <c r="AK1253" s="222"/>
      <c r="AL1253" s="222"/>
      <c r="AM1253" s="222"/>
    </row>
    <row r="1254" spans="1:40" s="231" customFormat="1" outlineLevel="1">
      <c r="B1254" s="3"/>
      <c r="C1254" s="3"/>
      <c r="D1254" s="3"/>
      <c r="E1254" s="242"/>
      <c r="F1254" s="579" t="s">
        <v>1642</v>
      </c>
      <c r="G1254" s="579"/>
      <c r="H1254" s="579"/>
      <c r="I1254" s="579"/>
      <c r="J1254" s="579"/>
      <c r="K1254" s="579"/>
      <c r="L1254" s="579"/>
      <c r="M1254" s="579"/>
      <c r="N1254" s="579"/>
      <c r="O1254" s="241"/>
      <c r="P1254" s="238"/>
      <c r="Q1254" s="238"/>
      <c r="R1254" s="598">
        <f>R1250</f>
        <v>125</v>
      </c>
      <c r="S1254" s="689"/>
      <c r="T1254" s="689"/>
      <c r="U1254" s="598">
        <f>U1250+U1251</f>
        <v>36</v>
      </c>
      <c r="V1254" s="689"/>
      <c r="W1254" s="689"/>
      <c r="X1254" s="598">
        <f>X1250+X1251+X1252+X1253</f>
        <v>2588</v>
      </c>
      <c r="Y1254" s="689"/>
      <c r="Z1254" s="689"/>
      <c r="AA1254" s="598">
        <f>R1254+U1254+X1254</f>
        <v>2749</v>
      </c>
      <c r="AB1254" s="689"/>
      <c r="AC1254" s="689"/>
      <c r="AD1254" s="598"/>
      <c r="AE1254" s="689"/>
      <c r="AF1254" s="689"/>
      <c r="AG1254" s="690"/>
      <c r="AH1254" s="690"/>
      <c r="AI1254" s="690"/>
      <c r="AJ1254" s="690"/>
      <c r="AK1254" s="240"/>
      <c r="AL1254" s="309"/>
      <c r="AM1254" s="309"/>
    </row>
    <row r="1255" spans="1:40" s="231" customFormat="1" ht="7.5" customHeight="1" outlineLevel="1">
      <c r="B1255" s="3"/>
      <c r="C1255" s="3"/>
      <c r="D1255" s="3"/>
      <c r="E1255" s="242"/>
      <c r="F1255" s="242"/>
      <c r="G1255" s="242"/>
      <c r="H1255" s="242"/>
      <c r="I1255" s="242"/>
      <c r="J1255" s="242"/>
      <c r="K1255" s="242"/>
      <c r="L1255" s="242"/>
      <c r="M1255" s="242"/>
      <c r="N1255" s="242"/>
      <c r="O1255" s="272"/>
      <c r="P1255" s="272"/>
      <c r="Q1255" s="272"/>
      <c r="R1255" s="272"/>
      <c r="S1255" s="306"/>
      <c r="T1255" s="306"/>
      <c r="U1255" s="306"/>
      <c r="V1255" s="306"/>
      <c r="W1255" s="306"/>
      <c r="X1255" s="306"/>
      <c r="Y1255" s="306"/>
      <c r="Z1255" s="306"/>
      <c r="AA1255" s="306"/>
      <c r="AB1255" s="306"/>
      <c r="AC1255" s="306"/>
      <c r="AD1255" s="306"/>
      <c r="AE1255" s="306"/>
      <c r="AF1255" s="306"/>
      <c r="AG1255" s="585"/>
      <c r="AH1255" s="585"/>
      <c r="AI1255" s="585"/>
      <c r="AJ1255" s="585"/>
      <c r="AK1255" s="222"/>
      <c r="AL1255" s="222"/>
      <c r="AM1255" s="222"/>
    </row>
    <row r="1256" spans="1:40" s="231" customFormat="1" outlineLevel="1">
      <c r="B1256" s="3"/>
      <c r="C1256" s="3"/>
      <c r="D1256" s="3"/>
      <c r="E1256" s="242"/>
      <c r="F1256" s="691" t="s">
        <v>365</v>
      </c>
      <c r="G1256" s="691"/>
      <c r="H1256" s="691"/>
      <c r="I1256" s="691"/>
      <c r="J1256" s="691"/>
      <c r="K1256" s="691"/>
      <c r="L1256" s="691"/>
      <c r="M1256" s="691"/>
      <c r="N1256" s="691"/>
      <c r="O1256" s="691"/>
      <c r="P1256" s="242"/>
      <c r="Q1256" s="242"/>
      <c r="R1256" s="242"/>
      <c r="S1256" s="242"/>
      <c r="T1256" s="242"/>
      <c r="U1256" s="242"/>
      <c r="V1256" s="242"/>
      <c r="W1256" s="242"/>
      <c r="X1256" s="242"/>
      <c r="Y1256" s="242"/>
      <c r="Z1256" s="242"/>
      <c r="AA1256" s="242"/>
      <c r="AB1256" s="242"/>
      <c r="AC1256" s="242"/>
      <c r="AD1256" s="242"/>
      <c r="AE1256" s="242"/>
      <c r="AF1256" s="242"/>
      <c r="AG1256" s="647"/>
      <c r="AH1256" s="647"/>
      <c r="AI1256" s="647"/>
      <c r="AJ1256" s="647"/>
      <c r="AK1256" s="302"/>
      <c r="AL1256" s="302"/>
      <c r="AM1256" s="302"/>
    </row>
    <row r="1257" spans="1:40" s="231" customFormat="1" ht="5.25" customHeight="1" outlineLevel="1">
      <c r="B1257" s="3"/>
      <c r="C1257" s="3"/>
      <c r="D1257" s="3"/>
      <c r="E1257" s="242"/>
      <c r="F1257" s="242"/>
      <c r="G1257" s="242"/>
      <c r="H1257" s="242"/>
      <c r="I1257" s="242"/>
      <c r="J1257" s="242"/>
      <c r="K1257" s="242"/>
      <c r="L1257" s="242"/>
      <c r="M1257" s="242"/>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647"/>
      <c r="AH1257" s="647"/>
      <c r="AI1257" s="647"/>
      <c r="AJ1257" s="647"/>
      <c r="AK1257" s="302"/>
      <c r="AL1257" s="302"/>
      <c r="AM1257" s="302"/>
    </row>
    <row r="1258" spans="1:40" ht="12.75" hidden="1" customHeight="1" outlineLevel="2">
      <c r="A1258" s="3"/>
      <c r="B1258" s="3"/>
      <c r="C1258" s="3"/>
      <c r="D1258" s="3"/>
      <c r="E1258" s="20"/>
      <c r="F1258" s="579"/>
      <c r="G1258" s="579"/>
      <c r="H1258" s="579"/>
      <c r="I1258" s="579"/>
      <c r="J1258" s="579"/>
      <c r="K1258" s="579"/>
      <c r="L1258" s="579"/>
      <c r="M1258" s="579"/>
      <c r="N1258" s="579"/>
      <c r="O1258" s="21"/>
      <c r="P1258" s="71"/>
      <c r="Q1258" s="71"/>
      <c r="R1258" s="626"/>
      <c r="S1258" s="678"/>
      <c r="T1258" s="678"/>
      <c r="U1258" s="626"/>
      <c r="V1258" s="678"/>
      <c r="W1258" s="678"/>
      <c r="X1258" s="626"/>
      <c r="Y1258" s="678"/>
      <c r="Z1258" s="678"/>
      <c r="AA1258" s="626"/>
      <c r="AB1258" s="678"/>
      <c r="AC1258" s="678"/>
      <c r="AD1258" s="626"/>
      <c r="AE1258" s="678"/>
      <c r="AF1258" s="678"/>
      <c r="AG1258" s="626"/>
      <c r="AH1258" s="626"/>
      <c r="AI1258" s="626"/>
      <c r="AJ1258" s="626"/>
      <c r="AK1258" s="239"/>
      <c r="AL1258" s="239"/>
      <c r="AM1258" s="239"/>
    </row>
    <row r="1259" spans="1:40" ht="12.75" hidden="1" customHeight="1" outlineLevel="2">
      <c r="A1259" s="3"/>
      <c r="B1259" s="3"/>
      <c r="C1259" s="3"/>
      <c r="D1259" s="3"/>
      <c r="E1259" s="20"/>
      <c r="F1259" s="684"/>
      <c r="G1259" s="684"/>
      <c r="H1259" s="684"/>
      <c r="I1259" s="684"/>
      <c r="J1259" s="684"/>
      <c r="K1259" s="684"/>
      <c r="L1259" s="684"/>
      <c r="M1259" s="684"/>
      <c r="N1259" s="684"/>
      <c r="O1259" s="23"/>
      <c r="P1259" s="71"/>
      <c r="Q1259" s="71"/>
      <c r="R1259" s="566"/>
      <c r="S1259" s="685"/>
      <c r="T1259" s="685"/>
      <c r="U1259" s="566"/>
      <c r="V1259" s="685"/>
      <c r="W1259" s="685"/>
      <c r="X1259" s="566"/>
      <c r="Y1259" s="685"/>
      <c r="Z1259" s="685"/>
      <c r="AA1259" s="566"/>
      <c r="AB1259" s="685"/>
      <c r="AC1259" s="685"/>
      <c r="AD1259" s="566"/>
      <c r="AE1259" s="685"/>
      <c r="AF1259" s="685"/>
      <c r="AG1259" s="566"/>
      <c r="AH1259" s="566"/>
      <c r="AI1259" s="566"/>
      <c r="AJ1259" s="566"/>
      <c r="AK1259" s="222"/>
      <c r="AL1259" s="222"/>
      <c r="AM1259" s="222"/>
    </row>
    <row r="1260" spans="1:40" ht="14.1" hidden="1" customHeight="1" outlineLevel="2">
      <c r="A1260" s="3"/>
      <c r="B1260" s="3"/>
      <c r="C1260" s="3"/>
      <c r="D1260" s="3"/>
      <c r="E1260" s="20"/>
      <c r="F1260" s="684"/>
      <c r="G1260" s="684"/>
      <c r="H1260" s="684"/>
      <c r="I1260" s="684"/>
      <c r="J1260" s="684"/>
      <c r="K1260" s="684"/>
      <c r="L1260" s="684"/>
      <c r="M1260" s="684"/>
      <c r="N1260" s="684"/>
      <c r="O1260" s="23"/>
      <c r="P1260" s="71"/>
      <c r="Q1260" s="71"/>
      <c r="R1260" s="566"/>
      <c r="S1260" s="685"/>
      <c r="T1260" s="685"/>
      <c r="U1260" s="566"/>
      <c r="V1260" s="685"/>
      <c r="W1260" s="685"/>
      <c r="X1260" s="566"/>
      <c r="Y1260" s="685"/>
      <c r="Z1260" s="685"/>
      <c r="AA1260" s="566"/>
      <c r="AB1260" s="685"/>
      <c r="AC1260" s="685"/>
      <c r="AD1260" s="566"/>
      <c r="AE1260" s="685"/>
      <c r="AF1260" s="685"/>
      <c r="AG1260" s="566"/>
      <c r="AH1260" s="566"/>
      <c r="AI1260" s="566"/>
      <c r="AJ1260" s="566"/>
      <c r="AK1260" s="222"/>
      <c r="AL1260" s="222"/>
      <c r="AM1260" s="222"/>
    </row>
    <row r="1261" spans="1:40" ht="14.1" hidden="1" customHeight="1" outlineLevel="2">
      <c r="A1261" s="3"/>
      <c r="B1261" s="3"/>
      <c r="C1261" s="3"/>
      <c r="D1261" s="3"/>
      <c r="E1261" s="20"/>
      <c r="F1261" s="625"/>
      <c r="G1261" s="625"/>
      <c r="H1261" s="625"/>
      <c r="I1261" s="625"/>
      <c r="J1261" s="625"/>
      <c r="K1261" s="625"/>
      <c r="L1261" s="625"/>
      <c r="M1261" s="625"/>
      <c r="N1261" s="625"/>
      <c r="O1261" s="23"/>
      <c r="P1261" s="71"/>
      <c r="Q1261" s="71"/>
      <c r="R1261" s="23"/>
      <c r="S1261" s="71"/>
      <c r="T1261" s="71"/>
      <c r="U1261" s="23"/>
      <c r="V1261" s="71"/>
      <c r="W1261" s="71"/>
      <c r="X1261" s="23"/>
      <c r="Y1261" s="71"/>
      <c r="Z1261" s="71"/>
      <c r="AA1261" s="23"/>
      <c r="AB1261" s="71"/>
      <c r="AC1261" s="71"/>
      <c r="AD1261" s="23"/>
      <c r="AE1261" s="71"/>
      <c r="AF1261" s="71"/>
      <c r="AG1261" s="566"/>
      <c r="AH1261" s="566"/>
      <c r="AI1261" s="566"/>
      <c r="AJ1261" s="566"/>
      <c r="AK1261" s="222"/>
      <c r="AL1261" s="222"/>
      <c r="AM1261" s="222"/>
    </row>
    <row r="1262" spans="1:40" ht="14.1" hidden="1" customHeight="1" outlineLevel="2">
      <c r="A1262" s="3"/>
      <c r="B1262" s="3"/>
      <c r="C1262" s="3"/>
      <c r="D1262" s="3"/>
      <c r="E1262" s="20"/>
      <c r="F1262" s="625"/>
      <c r="G1262" s="625"/>
      <c r="H1262" s="625"/>
      <c r="I1262" s="625"/>
      <c r="J1262" s="625"/>
      <c r="K1262" s="625"/>
      <c r="L1262" s="625"/>
      <c r="M1262" s="625"/>
      <c r="N1262" s="625"/>
      <c r="O1262" s="23"/>
      <c r="P1262" s="71"/>
      <c r="Q1262" s="71"/>
      <c r="R1262" s="566"/>
      <c r="S1262" s="685"/>
      <c r="T1262" s="685"/>
      <c r="U1262" s="566"/>
      <c r="V1262" s="685"/>
      <c r="W1262" s="685"/>
      <c r="X1262" s="566"/>
      <c r="Y1262" s="685"/>
      <c r="Z1262" s="685"/>
      <c r="AA1262" s="566"/>
      <c r="AB1262" s="685"/>
      <c r="AC1262" s="685"/>
      <c r="AD1262" s="566"/>
      <c r="AE1262" s="685"/>
      <c r="AF1262" s="685"/>
      <c r="AG1262" s="566"/>
      <c r="AH1262" s="566"/>
      <c r="AI1262" s="566"/>
      <c r="AJ1262" s="566"/>
      <c r="AK1262" s="222"/>
      <c r="AL1262" s="222"/>
      <c r="AM1262" s="222"/>
    </row>
    <row r="1263" spans="1:40" s="231" customFormat="1" outlineLevel="1" collapsed="1">
      <c r="B1263" s="3"/>
      <c r="C1263" s="3"/>
      <c r="D1263" s="3"/>
      <c r="E1263" s="242"/>
      <c r="F1263" s="579" t="s">
        <v>1419</v>
      </c>
      <c r="G1263" s="579"/>
      <c r="H1263" s="579"/>
      <c r="I1263" s="579"/>
      <c r="J1263" s="579"/>
      <c r="K1263" s="579"/>
      <c r="L1263" s="579"/>
      <c r="M1263" s="579"/>
      <c r="N1263" s="579"/>
      <c r="O1263" s="241"/>
      <c r="P1263" s="238"/>
      <c r="Q1263" s="238"/>
      <c r="R1263" s="598">
        <v>125</v>
      </c>
      <c r="S1263" s="689"/>
      <c r="T1263" s="689"/>
      <c r="U1263" s="598">
        <v>3</v>
      </c>
      <c r="V1263" s="689"/>
      <c r="W1263" s="689"/>
      <c r="X1263" s="598">
        <v>798</v>
      </c>
      <c r="Y1263" s="689"/>
      <c r="Z1263" s="689"/>
      <c r="AA1263" s="598">
        <v>926</v>
      </c>
      <c r="AB1263" s="689"/>
      <c r="AC1263" s="689"/>
      <c r="AD1263" s="598"/>
      <c r="AE1263" s="689"/>
      <c r="AF1263" s="689"/>
      <c r="AG1263" s="690"/>
      <c r="AH1263" s="690"/>
      <c r="AI1263" s="690"/>
      <c r="AJ1263" s="690"/>
      <c r="AK1263" s="240"/>
      <c r="AL1263" s="240"/>
      <c r="AM1263" s="240"/>
      <c r="AN1263" s="231">
        <v>1837</v>
      </c>
    </row>
    <row r="1264" spans="1:40" s="231" customFormat="1" outlineLevel="1">
      <c r="A1264" s="1"/>
      <c r="B1264" s="1"/>
      <c r="C1264" s="2"/>
      <c r="D1264" s="1"/>
      <c r="E1264" s="242"/>
      <c r="F1264" s="684" t="s">
        <v>366</v>
      </c>
      <c r="G1264" s="684"/>
      <c r="H1264" s="684"/>
      <c r="I1264" s="684"/>
      <c r="J1264" s="684"/>
      <c r="K1264" s="684"/>
      <c r="L1264" s="684"/>
      <c r="M1264" s="684"/>
      <c r="N1264" s="684"/>
      <c r="O1264" s="237"/>
      <c r="P1264" s="238"/>
      <c r="Q1264" s="238"/>
      <c r="R1264" s="566"/>
      <c r="S1264" s="685"/>
      <c r="T1264" s="685"/>
      <c r="U1264" s="566">
        <v>5</v>
      </c>
      <c r="V1264" s="685"/>
      <c r="W1264" s="685"/>
      <c r="X1264" s="566">
        <f>978</f>
        <v>978</v>
      </c>
      <c r="Y1264" s="685"/>
      <c r="Z1264" s="685"/>
      <c r="AA1264" s="566">
        <f>X1264+R1264+U1264</f>
        <v>983</v>
      </c>
      <c r="AB1264" s="685"/>
      <c r="AC1264" s="685"/>
      <c r="AD1264" s="566"/>
      <c r="AE1264" s="685"/>
      <c r="AF1264" s="685"/>
      <c r="AG1264" s="566"/>
      <c r="AH1264" s="566"/>
      <c r="AI1264" s="566"/>
      <c r="AJ1264" s="566"/>
      <c r="AK1264" s="222"/>
      <c r="AL1264" s="222"/>
      <c r="AM1264" s="222"/>
      <c r="AN1264" s="231">
        <f>AN1266-AN1263</f>
        <v>17</v>
      </c>
    </row>
    <row r="1265" spans="1:40" s="231" customFormat="1" outlineLevel="1">
      <c r="A1265" s="1"/>
      <c r="B1265" s="1"/>
      <c r="C1265" s="2"/>
      <c r="D1265" s="1"/>
      <c r="E1265" s="242"/>
      <c r="F1265" s="684" t="s">
        <v>364</v>
      </c>
      <c r="G1265" s="684"/>
      <c r="H1265" s="684"/>
      <c r="I1265" s="684"/>
      <c r="J1265" s="684"/>
      <c r="K1265" s="684"/>
      <c r="L1265" s="684"/>
      <c r="M1265" s="684"/>
      <c r="N1265" s="684"/>
      <c r="O1265" s="237"/>
      <c r="P1265" s="238"/>
      <c r="Q1265" s="238"/>
      <c r="R1265" s="566"/>
      <c r="S1265" s="685"/>
      <c r="T1265" s="685"/>
      <c r="U1265" s="566"/>
      <c r="V1265" s="685"/>
      <c r="W1265" s="685"/>
      <c r="X1265" s="566"/>
      <c r="Y1265" s="685"/>
      <c r="Z1265" s="685"/>
      <c r="AA1265" s="566"/>
      <c r="AB1265" s="685"/>
      <c r="AC1265" s="685"/>
      <c r="AD1265" s="566"/>
      <c r="AE1265" s="685"/>
      <c r="AF1265" s="685"/>
      <c r="AG1265" s="566"/>
      <c r="AH1265" s="566"/>
      <c r="AI1265" s="566"/>
      <c r="AJ1265" s="566"/>
      <c r="AK1265" s="222"/>
      <c r="AL1265" s="222"/>
      <c r="AM1265" s="222"/>
    </row>
    <row r="1266" spans="1:40" s="231" customFormat="1" outlineLevel="1">
      <c r="A1266" s="1"/>
      <c r="B1266" s="1"/>
      <c r="C1266" s="2"/>
      <c r="D1266" s="1"/>
      <c r="E1266" s="242"/>
      <c r="F1266" s="579" t="s">
        <v>1419</v>
      </c>
      <c r="G1266" s="579"/>
      <c r="H1266" s="579"/>
      <c r="I1266" s="579"/>
      <c r="J1266" s="579"/>
      <c r="K1266" s="579"/>
      <c r="L1266" s="579"/>
      <c r="M1266" s="579"/>
      <c r="N1266" s="579"/>
      <c r="O1266" s="241"/>
      <c r="P1266" s="238"/>
      <c r="Q1266" s="238"/>
      <c r="R1266" s="598">
        <f>R1263+R1264+R1265</f>
        <v>125</v>
      </c>
      <c r="S1266" s="689"/>
      <c r="T1266" s="689"/>
      <c r="U1266" s="598">
        <f>U1263+U1264+U1265</f>
        <v>8</v>
      </c>
      <c r="V1266" s="689"/>
      <c r="W1266" s="689"/>
      <c r="X1266" s="598">
        <f>X1263+X1264+X1265</f>
        <v>1776</v>
      </c>
      <c r="Y1266" s="689"/>
      <c r="Z1266" s="689"/>
      <c r="AA1266" s="598">
        <f>AA1263+AA1264+AA1265</f>
        <v>1909</v>
      </c>
      <c r="AB1266" s="689"/>
      <c r="AC1266" s="689"/>
      <c r="AD1266" s="598"/>
      <c r="AE1266" s="689"/>
      <c r="AF1266" s="689"/>
      <c r="AG1266" s="690"/>
      <c r="AH1266" s="690"/>
      <c r="AI1266" s="690"/>
      <c r="AJ1266" s="690"/>
      <c r="AK1266" s="240"/>
      <c r="AL1266" s="309"/>
      <c r="AM1266" s="309"/>
      <c r="AN1266" s="231">
        <v>1854</v>
      </c>
    </row>
    <row r="1267" spans="1:40" s="231" customFormat="1" outlineLevel="1">
      <c r="A1267" s="1"/>
      <c r="B1267" s="1"/>
      <c r="C1267" s="2"/>
      <c r="D1267" s="1"/>
      <c r="E1267" s="242"/>
      <c r="F1267" s="242"/>
      <c r="G1267" s="242"/>
      <c r="H1267" s="242"/>
      <c r="I1267" s="242"/>
      <c r="J1267" s="242"/>
      <c r="K1267" s="242"/>
      <c r="L1267" s="242"/>
      <c r="M1267" s="242"/>
      <c r="N1267" s="242"/>
      <c r="O1267" s="272"/>
      <c r="P1267" s="272"/>
      <c r="Q1267" s="272"/>
      <c r="R1267" s="272"/>
      <c r="S1267" s="306"/>
      <c r="T1267" s="306"/>
      <c r="U1267" s="306"/>
      <c r="V1267" s="306"/>
      <c r="W1267" s="306"/>
      <c r="X1267" s="306"/>
      <c r="Y1267" s="306"/>
      <c r="Z1267" s="306"/>
      <c r="AA1267" s="306"/>
      <c r="AB1267" s="306"/>
      <c r="AC1267" s="306"/>
      <c r="AD1267" s="306"/>
      <c r="AE1267" s="306"/>
      <c r="AF1267" s="306"/>
      <c r="AG1267" s="585"/>
      <c r="AH1267" s="585"/>
      <c r="AI1267" s="585"/>
      <c r="AJ1267" s="585"/>
      <c r="AK1267" s="585"/>
      <c r="AL1267" s="585"/>
      <c r="AM1267" s="585"/>
    </row>
    <row r="1268" spans="1:40" s="231" customFormat="1" outlineLevel="1">
      <c r="A1268" s="1"/>
      <c r="B1268" s="1"/>
      <c r="C1268" s="2"/>
      <c r="D1268" s="1"/>
      <c r="E1268" s="242"/>
      <c r="F1268" s="691" t="s">
        <v>367</v>
      </c>
      <c r="G1268" s="691"/>
      <c r="H1268" s="691"/>
      <c r="I1268" s="691"/>
      <c r="J1268" s="691"/>
      <c r="K1268" s="691"/>
      <c r="L1268" s="691"/>
      <c r="M1268" s="691"/>
      <c r="N1268" s="691"/>
      <c r="O1268" s="242"/>
      <c r="P1268" s="242"/>
      <c r="Q1268" s="242"/>
      <c r="R1268" s="242"/>
      <c r="S1268" s="242"/>
      <c r="T1268" s="242"/>
      <c r="U1268" s="242"/>
      <c r="V1268" s="242"/>
      <c r="W1268" s="242"/>
      <c r="X1268" s="242"/>
      <c r="Y1268" s="242"/>
      <c r="Z1268" s="242"/>
      <c r="AA1268" s="242"/>
      <c r="AB1268" s="242"/>
      <c r="AC1268" s="242"/>
      <c r="AD1268" s="242"/>
      <c r="AE1268" s="242"/>
      <c r="AF1268" s="242"/>
      <c r="AG1268" s="647"/>
      <c r="AH1268" s="647"/>
      <c r="AI1268" s="647"/>
      <c r="AJ1268" s="647"/>
      <c r="AK1268" s="302"/>
      <c r="AL1268" s="302"/>
      <c r="AM1268" s="302"/>
    </row>
    <row r="1269" spans="1:40" s="231" customFormat="1" ht="7.5" customHeight="1" outlineLevel="1">
      <c r="A1269" s="1"/>
      <c r="B1269" s="1"/>
      <c r="C1269" s="2"/>
      <c r="D1269" s="1"/>
      <c r="E1269" s="242"/>
      <c r="F1269" s="243"/>
      <c r="G1269" s="243"/>
      <c r="H1269" s="243"/>
      <c r="I1269" s="243"/>
      <c r="J1269" s="243"/>
      <c r="K1269" s="243"/>
      <c r="L1269" s="243"/>
      <c r="M1269" s="243"/>
      <c r="N1269" s="243"/>
      <c r="O1269" s="242"/>
      <c r="P1269" s="242"/>
      <c r="Q1269" s="242"/>
      <c r="R1269" s="242"/>
      <c r="S1269" s="242"/>
      <c r="T1269" s="242"/>
      <c r="U1269" s="242"/>
      <c r="V1269" s="242"/>
      <c r="W1269" s="242"/>
      <c r="X1269" s="242"/>
      <c r="Y1269" s="242"/>
      <c r="Z1269" s="242"/>
      <c r="AA1269" s="242"/>
      <c r="AB1269" s="242"/>
      <c r="AC1269" s="242"/>
      <c r="AD1269" s="242"/>
      <c r="AE1269" s="242"/>
      <c r="AF1269" s="242"/>
      <c r="AG1269" s="647"/>
      <c r="AH1269" s="647"/>
      <c r="AI1269" s="647"/>
      <c r="AJ1269" s="647"/>
      <c r="AK1269" s="302"/>
      <c r="AL1269" s="302"/>
      <c r="AM1269" s="302"/>
    </row>
    <row r="1270" spans="1:40" s="231" customFormat="1" outlineLevel="1">
      <c r="A1270" s="25"/>
      <c r="B1270" s="1"/>
      <c r="C1270" s="2"/>
      <c r="D1270" s="1"/>
      <c r="E1270" s="242"/>
      <c r="F1270" s="579" t="s">
        <v>480</v>
      </c>
      <c r="G1270" s="579"/>
      <c r="H1270" s="579"/>
      <c r="I1270" s="579"/>
      <c r="J1270" s="579"/>
      <c r="K1270" s="579"/>
      <c r="L1270" s="579"/>
      <c r="M1270" s="579"/>
      <c r="N1270" s="579"/>
      <c r="O1270" s="241"/>
      <c r="P1270" s="238"/>
      <c r="Q1270" s="238"/>
      <c r="R1270" s="598">
        <f>R1250-R1263</f>
        <v>0</v>
      </c>
      <c r="S1270" s="689"/>
      <c r="T1270" s="689"/>
      <c r="U1270" s="598">
        <f>U1250-U1263</f>
        <v>0</v>
      </c>
      <c r="V1270" s="689"/>
      <c r="W1270" s="689"/>
      <c r="X1270" s="598">
        <f>X1250-X1263</f>
        <v>1793</v>
      </c>
      <c r="Y1270" s="689"/>
      <c r="Z1270" s="689"/>
      <c r="AA1270" s="598">
        <f>AA1250-AA1263</f>
        <v>1793</v>
      </c>
      <c r="AB1270" s="689"/>
      <c r="AC1270" s="689"/>
      <c r="AD1270" s="598" t="s">
        <v>24</v>
      </c>
      <c r="AE1270" s="689"/>
      <c r="AF1270" s="689"/>
      <c r="AG1270" s="690"/>
      <c r="AH1270" s="690"/>
      <c r="AI1270" s="690"/>
      <c r="AJ1270" s="690"/>
      <c r="AK1270" s="240"/>
      <c r="AL1270" s="240"/>
      <c r="AM1270" s="240"/>
    </row>
    <row r="1271" spans="1:40" s="231" customFormat="1" outlineLevel="1">
      <c r="A1271" s="25"/>
      <c r="B1271" s="1"/>
      <c r="C1271" s="2"/>
      <c r="D1271" s="1"/>
      <c r="E1271" s="242"/>
      <c r="F1271" s="579" t="s">
        <v>1419</v>
      </c>
      <c r="G1271" s="579"/>
      <c r="H1271" s="579"/>
      <c r="I1271" s="579"/>
      <c r="J1271" s="579"/>
      <c r="K1271" s="579"/>
      <c r="L1271" s="579"/>
      <c r="M1271" s="579"/>
      <c r="N1271" s="579"/>
      <c r="O1271" s="241"/>
      <c r="P1271" s="238"/>
      <c r="Q1271" s="238"/>
      <c r="R1271" s="598">
        <f>R1254-R1266</f>
        <v>0</v>
      </c>
      <c r="S1271" s="689"/>
      <c r="T1271" s="689"/>
      <c r="U1271" s="598">
        <f>U1254-U1266</f>
        <v>28</v>
      </c>
      <c r="V1271" s="689"/>
      <c r="W1271" s="689"/>
      <c r="X1271" s="598">
        <f>X1254-X1266</f>
        <v>812</v>
      </c>
      <c r="Y1271" s="689"/>
      <c r="Z1271" s="689"/>
      <c r="AA1271" s="598">
        <f>AA1254-AA1266</f>
        <v>840</v>
      </c>
      <c r="AB1271" s="689"/>
      <c r="AC1271" s="689"/>
      <c r="AD1271" s="598"/>
      <c r="AE1271" s="689"/>
      <c r="AF1271" s="689"/>
      <c r="AG1271" s="690"/>
      <c r="AH1271" s="690"/>
      <c r="AI1271" s="690"/>
      <c r="AJ1271" s="690"/>
      <c r="AK1271" s="240"/>
      <c r="AL1271" s="240"/>
      <c r="AM1271" s="240"/>
    </row>
    <row r="1272" spans="1:40" s="231" customFormat="1" outlineLevel="1">
      <c r="A1272" s="25"/>
      <c r="B1272" s="1"/>
      <c r="C1272" s="2"/>
      <c r="D1272" s="1"/>
      <c r="E1272" s="242"/>
      <c r="F1272" s="243"/>
      <c r="G1272" s="243"/>
      <c r="H1272" s="243"/>
      <c r="I1272" s="243"/>
      <c r="J1272" s="243"/>
      <c r="K1272" s="243"/>
      <c r="L1272" s="243"/>
      <c r="M1272" s="243"/>
      <c r="N1272" s="243"/>
      <c r="O1272" s="241"/>
      <c r="P1272" s="238"/>
      <c r="Q1272" s="238"/>
      <c r="R1272" s="241"/>
      <c r="S1272" s="238"/>
      <c r="T1272" s="238"/>
      <c r="U1272" s="241"/>
      <c r="V1272" s="238"/>
      <c r="W1272" s="238"/>
      <c r="X1272" s="241"/>
      <c r="Y1272" s="238"/>
      <c r="Z1272" s="238"/>
      <c r="AA1272" s="241"/>
      <c r="AB1272" s="238"/>
      <c r="AC1272" s="238"/>
      <c r="AD1272" s="241"/>
      <c r="AE1272" s="238"/>
      <c r="AF1272" s="238"/>
      <c r="AG1272" s="241"/>
      <c r="AH1272" s="241"/>
      <c r="AI1272" s="241"/>
      <c r="AJ1272" s="241"/>
      <c r="AK1272" s="240"/>
      <c r="AL1272" s="240"/>
      <c r="AM1272" s="240"/>
    </row>
    <row r="1273" spans="1:40" hidden="1" outlineLevel="1">
      <c r="F1273" s="692" t="s">
        <v>368</v>
      </c>
      <c r="G1273" s="692"/>
      <c r="H1273" s="692"/>
      <c r="I1273" s="692"/>
      <c r="J1273" s="692"/>
      <c r="K1273" s="692"/>
      <c r="L1273" s="692"/>
      <c r="M1273" s="692"/>
      <c r="N1273" s="692"/>
      <c r="O1273" s="692"/>
      <c r="P1273" s="692"/>
      <c r="Q1273" s="692"/>
      <c r="R1273" s="692"/>
      <c r="S1273" s="692"/>
      <c r="T1273" s="692"/>
      <c r="U1273" s="692"/>
      <c r="V1273" s="692"/>
      <c r="W1273" s="692"/>
      <c r="X1273" s="692"/>
      <c r="Y1273" s="692"/>
      <c r="Z1273" s="692"/>
      <c r="AA1273" s="692"/>
      <c r="AB1273" s="692"/>
      <c r="AC1273" s="692"/>
      <c r="AD1273" s="692"/>
      <c r="AE1273" s="692"/>
      <c r="AF1273" s="692"/>
      <c r="AG1273" s="692"/>
      <c r="AH1273" s="692"/>
      <c r="AI1273" s="692"/>
      <c r="AJ1273" s="692"/>
      <c r="AK1273" s="692"/>
      <c r="AL1273" s="692"/>
      <c r="AM1273" s="692"/>
    </row>
    <row r="1274" spans="1:40" hidden="1" outlineLevel="1">
      <c r="F1274" s="692"/>
      <c r="G1274" s="692"/>
      <c r="H1274" s="692"/>
      <c r="I1274" s="692"/>
      <c r="J1274" s="692"/>
      <c r="K1274" s="692"/>
      <c r="L1274" s="692"/>
      <c r="M1274" s="692"/>
      <c r="N1274" s="692"/>
      <c r="O1274" s="692"/>
      <c r="P1274" s="692"/>
      <c r="Q1274" s="692"/>
      <c r="R1274" s="692"/>
      <c r="S1274" s="692"/>
      <c r="T1274" s="692"/>
      <c r="U1274" s="692"/>
      <c r="V1274" s="692"/>
      <c r="W1274" s="692"/>
      <c r="X1274" s="692"/>
      <c r="Y1274" s="692"/>
      <c r="Z1274" s="692"/>
      <c r="AA1274" s="692"/>
      <c r="AB1274" s="692"/>
      <c r="AC1274" s="692"/>
      <c r="AD1274" s="692"/>
      <c r="AE1274" s="692"/>
      <c r="AF1274" s="692"/>
      <c r="AG1274" s="692"/>
      <c r="AH1274" s="692"/>
      <c r="AI1274" s="692"/>
      <c r="AJ1274" s="692"/>
      <c r="AK1274" s="692"/>
      <c r="AL1274" s="692"/>
      <c r="AM1274" s="692"/>
    </row>
    <row r="1275" spans="1:40" hidden="1" outlineLevel="1">
      <c r="F1275" s="692"/>
      <c r="G1275" s="692"/>
      <c r="H1275" s="692"/>
      <c r="I1275" s="692"/>
      <c r="J1275" s="692"/>
      <c r="K1275" s="692"/>
      <c r="L1275" s="692"/>
      <c r="M1275" s="692"/>
      <c r="N1275" s="692"/>
      <c r="O1275" s="692"/>
      <c r="P1275" s="692"/>
      <c r="Q1275" s="692"/>
      <c r="R1275" s="692"/>
      <c r="S1275" s="692"/>
      <c r="T1275" s="692"/>
      <c r="U1275" s="692"/>
      <c r="V1275" s="692"/>
      <c r="W1275" s="692"/>
      <c r="X1275" s="692"/>
      <c r="Y1275" s="692"/>
      <c r="Z1275" s="692"/>
      <c r="AA1275" s="692"/>
      <c r="AB1275" s="692"/>
      <c r="AC1275" s="692"/>
      <c r="AD1275" s="692"/>
      <c r="AE1275" s="692"/>
      <c r="AF1275" s="692"/>
      <c r="AG1275" s="692"/>
      <c r="AH1275" s="692"/>
      <c r="AI1275" s="692"/>
      <c r="AJ1275" s="692"/>
      <c r="AK1275" s="692"/>
      <c r="AL1275" s="692"/>
      <c r="AM1275" s="692"/>
    </row>
    <row r="1276" spans="1:40" hidden="1" outlineLevel="1">
      <c r="F1276" s="12"/>
      <c r="G1276" s="12"/>
      <c r="H1276" s="12"/>
      <c r="I1276" s="12"/>
      <c r="J1276" s="12"/>
      <c r="K1276" s="12"/>
      <c r="L1276" s="12"/>
      <c r="M1276" s="12"/>
      <c r="N1276" s="12"/>
      <c r="O1276" s="12"/>
      <c r="P1276" s="12"/>
      <c r="Q1276" s="12"/>
      <c r="R1276" s="12"/>
      <c r="S1276" s="12"/>
      <c r="T1276" s="12"/>
      <c r="U1276" s="12"/>
      <c r="V1276" s="12"/>
      <c r="W1276" s="12"/>
      <c r="X1276" s="12"/>
      <c r="Y1276" s="12"/>
      <c r="Z1276" s="12"/>
      <c r="AA1276" s="12"/>
      <c r="AB1276" s="43"/>
      <c r="AC1276" s="43"/>
      <c r="AD1276" s="43"/>
      <c r="AE1276" s="43"/>
      <c r="AF1276" s="43"/>
      <c r="AG1276" s="43"/>
      <c r="AH1276" s="43"/>
      <c r="AI1276" s="43"/>
      <c r="AJ1276" s="43"/>
      <c r="AK1276" s="43"/>
      <c r="AL1276" s="43"/>
      <c r="AM1276" s="43"/>
    </row>
    <row r="1277" spans="1:40" hidden="1" outlineLevel="1">
      <c r="A1277" s="3"/>
      <c r="B1277" s="3"/>
      <c r="C1277" s="3"/>
      <c r="D1277" s="3"/>
      <c r="F1277" s="12"/>
      <c r="G1277" s="12"/>
      <c r="H1277" s="12"/>
      <c r="I1277" s="12"/>
      <c r="J1277" s="12"/>
      <c r="K1277" s="12"/>
      <c r="L1277" s="12"/>
      <c r="M1277" s="12"/>
      <c r="N1277" s="12"/>
      <c r="O1277" s="12"/>
      <c r="P1277" s="12"/>
      <c r="Q1277" s="12"/>
      <c r="R1277" s="12"/>
      <c r="S1277" s="12"/>
      <c r="T1277" s="12"/>
      <c r="U1277" s="12"/>
      <c r="V1277" s="12"/>
      <c r="W1277" s="12"/>
      <c r="X1277" s="12"/>
      <c r="Y1277" s="12"/>
      <c r="Z1277" s="12"/>
      <c r="AA1277" s="596" t="str">
        <f>$AA$211</f>
        <v>31 грудня 2020  року</v>
      </c>
      <c r="AB1277" s="596"/>
      <c r="AC1277" s="596"/>
      <c r="AD1277" s="596"/>
      <c r="AE1277" s="596"/>
      <c r="AF1277" s="12"/>
      <c r="AG1277" s="596" t="str">
        <f>$AG$211</f>
        <v>31 грудня 2019 року</v>
      </c>
      <c r="AH1277" s="596"/>
      <c r="AI1277" s="596"/>
      <c r="AJ1277" s="596"/>
      <c r="AK1277" s="596"/>
      <c r="AM1277" s="596">
        <f>$AM$211</f>
        <v>0</v>
      </c>
    </row>
    <row r="1278" spans="1:40" hidden="1" outlineLevel="1">
      <c r="A1278" s="3"/>
      <c r="B1278" s="3"/>
      <c r="C1278" s="3"/>
      <c r="D1278" s="3"/>
      <c r="F1278" s="12"/>
      <c r="G1278" s="12"/>
      <c r="H1278" s="12"/>
      <c r="I1278" s="12"/>
      <c r="J1278" s="12"/>
      <c r="K1278" s="12"/>
      <c r="L1278" s="12"/>
      <c r="M1278" s="12"/>
      <c r="N1278" s="12"/>
      <c r="O1278" s="12"/>
      <c r="P1278" s="12"/>
      <c r="Q1278" s="12"/>
      <c r="R1278" s="12"/>
      <c r="S1278" s="12"/>
      <c r="T1278" s="12"/>
      <c r="U1278" s="12"/>
      <c r="V1278" s="12"/>
      <c r="W1278" s="12"/>
      <c r="X1278" s="12"/>
      <c r="Y1278" s="12"/>
      <c r="Z1278" s="12"/>
      <c r="AA1278" s="597"/>
      <c r="AB1278" s="597"/>
      <c r="AC1278" s="597"/>
      <c r="AD1278" s="597"/>
      <c r="AE1278" s="597"/>
      <c r="AF1278" s="12"/>
      <c r="AG1278" s="597"/>
      <c r="AH1278" s="597"/>
      <c r="AI1278" s="597"/>
      <c r="AJ1278" s="597"/>
      <c r="AK1278" s="597"/>
      <c r="AM1278" s="597"/>
    </row>
    <row r="1279" spans="1:40" hidden="1" outlineLevel="1">
      <c r="A1279" s="3"/>
      <c r="B1279" s="3"/>
      <c r="C1279" s="3"/>
      <c r="D1279" s="3"/>
      <c r="F1279" s="568" t="s">
        <v>179</v>
      </c>
      <c r="G1279" s="568"/>
      <c r="H1279" s="568"/>
      <c r="I1279" s="568"/>
      <c r="J1279" s="568"/>
      <c r="K1279" s="568"/>
      <c r="L1279" s="568"/>
      <c r="M1279" s="568"/>
      <c r="N1279" s="568"/>
      <c r="O1279" s="568"/>
      <c r="P1279" s="568"/>
      <c r="Q1279" s="568"/>
      <c r="R1279" s="568"/>
      <c r="S1279" s="568"/>
      <c r="T1279" s="568"/>
      <c r="U1279" s="568"/>
      <c r="V1279" s="568"/>
      <c r="W1279" s="568"/>
      <c r="X1279" s="568"/>
      <c r="Y1279" s="568"/>
      <c r="Z1279" s="12"/>
      <c r="AA1279" s="566">
        <v>546</v>
      </c>
      <c r="AB1279" s="566"/>
      <c r="AC1279" s="566"/>
      <c r="AD1279" s="566"/>
      <c r="AE1279" s="566"/>
      <c r="AF1279" s="12"/>
      <c r="AG1279" s="566">
        <v>505</v>
      </c>
      <c r="AH1279" s="566"/>
      <c r="AI1279" s="566"/>
      <c r="AJ1279" s="566"/>
      <c r="AK1279" s="566"/>
      <c r="AM1279" s="237">
        <v>355</v>
      </c>
    </row>
    <row r="1280" spans="1:40" hidden="1" outlineLevel="1">
      <c r="A1280" s="3"/>
      <c r="B1280" s="3"/>
      <c r="C1280" s="3"/>
      <c r="D1280" s="3"/>
      <c r="F1280" s="568" t="s">
        <v>177</v>
      </c>
      <c r="G1280" s="568"/>
      <c r="H1280" s="568"/>
      <c r="I1280" s="568"/>
      <c r="J1280" s="568"/>
      <c r="K1280" s="568"/>
      <c r="L1280" s="568"/>
      <c r="M1280" s="568"/>
      <c r="N1280" s="568"/>
      <c r="O1280" s="568"/>
      <c r="P1280" s="568"/>
      <c r="Q1280" s="568"/>
      <c r="R1280" s="568"/>
      <c r="S1280" s="568"/>
      <c r="T1280" s="568"/>
      <c r="U1280" s="568"/>
      <c r="V1280" s="568"/>
      <c r="W1280" s="568"/>
      <c r="X1280" s="568"/>
      <c r="Y1280" s="568"/>
      <c r="Z1280" s="12"/>
      <c r="AA1280" s="566">
        <v>171</v>
      </c>
      <c r="AB1280" s="566"/>
      <c r="AC1280" s="566"/>
      <c r="AD1280" s="566"/>
      <c r="AE1280" s="566"/>
      <c r="AF1280" s="12"/>
      <c r="AG1280" s="566">
        <v>0</v>
      </c>
      <c r="AH1280" s="566"/>
      <c r="AI1280" s="566"/>
      <c r="AJ1280" s="566"/>
      <c r="AK1280" s="566"/>
      <c r="AM1280" s="237">
        <v>0</v>
      </c>
    </row>
    <row r="1281" spans="1:39" hidden="1" outlineLevel="1">
      <c r="A1281" s="3"/>
      <c r="B1281" s="3"/>
      <c r="C1281" s="3"/>
      <c r="D1281" s="3"/>
      <c r="F1281" s="568" t="s">
        <v>181</v>
      </c>
      <c r="G1281" s="568"/>
      <c r="H1281" s="568"/>
      <c r="I1281" s="568"/>
      <c r="J1281" s="568"/>
      <c r="K1281" s="568"/>
      <c r="L1281" s="568"/>
      <c r="M1281" s="568"/>
      <c r="N1281" s="568"/>
      <c r="O1281" s="568"/>
      <c r="P1281" s="568"/>
      <c r="Q1281" s="568"/>
      <c r="R1281" s="568"/>
      <c r="S1281" s="568"/>
      <c r="T1281" s="568"/>
      <c r="U1281" s="568"/>
      <c r="V1281" s="568"/>
      <c r="W1281" s="568"/>
      <c r="X1281" s="568"/>
      <c r="Y1281" s="568"/>
      <c r="Z1281" s="12"/>
      <c r="AA1281" s="566">
        <v>11</v>
      </c>
      <c r="AB1281" s="566"/>
      <c r="AC1281" s="566"/>
      <c r="AD1281" s="566"/>
      <c r="AE1281" s="566"/>
      <c r="AF1281" s="12"/>
      <c r="AG1281" s="566">
        <v>20</v>
      </c>
      <c r="AH1281" s="566"/>
      <c r="AI1281" s="566"/>
      <c r="AJ1281" s="566"/>
      <c r="AK1281" s="566"/>
      <c r="AM1281" s="237">
        <v>23</v>
      </c>
    </row>
    <row r="1282" spans="1:39" ht="13.5" hidden="1" outlineLevel="1" thickBot="1">
      <c r="A1282" s="3"/>
      <c r="B1282" s="3"/>
      <c r="C1282" s="3"/>
      <c r="D1282" s="3"/>
      <c r="AA1282" s="623">
        <f>SUBTOTAL(9,AA1279:AE1281)</f>
        <v>0</v>
      </c>
      <c r="AB1282" s="623"/>
      <c r="AC1282" s="623"/>
      <c r="AD1282" s="623"/>
      <c r="AE1282" s="623"/>
      <c r="AG1282" s="623">
        <f>SUBTOTAL(9,AG1279:AK1281)</f>
        <v>0</v>
      </c>
      <c r="AH1282" s="623"/>
      <c r="AI1282" s="623"/>
      <c r="AJ1282" s="623"/>
      <c r="AK1282" s="623"/>
      <c r="AL1282" s="72"/>
      <c r="AM1282" s="236">
        <f>SUBTOTAL(9,AM1279:AM1281)</f>
        <v>0</v>
      </c>
    </row>
    <row r="1283" spans="1:39" s="231" customFormat="1" outlineLevel="1">
      <c r="B1283" s="3"/>
      <c r="C1283" s="3"/>
      <c r="D1283" s="3"/>
      <c r="AG1283" s="297"/>
      <c r="AH1283" s="297"/>
      <c r="AI1283" s="297"/>
      <c r="AJ1283" s="297"/>
      <c r="AK1283" s="297"/>
      <c r="AM1283" s="297"/>
    </row>
    <row r="1284" spans="1:39" s="231" customFormat="1" ht="16.5" customHeight="1" outlineLevel="1">
      <c r="B1284" s="3"/>
      <c r="C1284" s="3"/>
      <c r="D1284" s="3"/>
      <c r="F1284" s="569" t="s">
        <v>369</v>
      </c>
      <c r="G1284" s="569"/>
      <c r="H1284" s="569"/>
      <c r="I1284" s="569"/>
      <c r="J1284" s="569"/>
      <c r="K1284" s="569"/>
      <c r="L1284" s="569"/>
      <c r="M1284" s="569"/>
      <c r="N1284" s="569"/>
      <c r="O1284" s="569"/>
      <c r="P1284" s="569"/>
      <c r="Q1284" s="569"/>
      <c r="R1284" s="569"/>
      <c r="S1284" s="569"/>
      <c r="T1284" s="569"/>
      <c r="U1284" s="569"/>
      <c r="V1284" s="569"/>
      <c r="W1284" s="569"/>
      <c r="X1284" s="569"/>
      <c r="Y1284" s="569"/>
      <c r="Z1284" s="569"/>
      <c r="AA1284" s="569"/>
      <c r="AB1284" s="569"/>
      <c r="AC1284" s="569"/>
      <c r="AD1284" s="569"/>
      <c r="AE1284" s="569"/>
      <c r="AF1284" s="569"/>
      <c r="AG1284" s="569"/>
      <c r="AH1284" s="569"/>
      <c r="AI1284" s="569"/>
      <c r="AJ1284" s="569"/>
      <c r="AK1284" s="569"/>
      <c r="AL1284" s="569"/>
      <c r="AM1284" s="249"/>
    </row>
    <row r="1285" spans="1:39" s="231" customFormat="1" outlineLevel="1">
      <c r="B1285" s="3"/>
      <c r="C1285" s="3"/>
      <c r="D1285" s="3"/>
      <c r="F1285" s="569"/>
      <c r="G1285" s="569"/>
      <c r="H1285" s="569"/>
      <c r="I1285" s="569"/>
      <c r="J1285" s="569"/>
      <c r="K1285" s="569"/>
      <c r="L1285" s="569"/>
      <c r="M1285" s="569"/>
      <c r="N1285" s="569"/>
      <c r="O1285" s="569"/>
      <c r="P1285" s="569"/>
      <c r="Q1285" s="569"/>
      <c r="R1285" s="569"/>
      <c r="S1285" s="569"/>
      <c r="T1285" s="569"/>
      <c r="U1285" s="569"/>
      <c r="V1285" s="569"/>
      <c r="W1285" s="569"/>
      <c r="X1285" s="569"/>
      <c r="Y1285" s="569"/>
      <c r="Z1285" s="569"/>
      <c r="AA1285" s="569"/>
      <c r="AB1285" s="569"/>
      <c r="AC1285" s="569"/>
      <c r="AD1285" s="569"/>
      <c r="AE1285" s="569"/>
      <c r="AF1285" s="569"/>
      <c r="AG1285" s="569"/>
      <c r="AH1285" s="569"/>
      <c r="AI1285" s="569"/>
      <c r="AJ1285" s="569"/>
      <c r="AK1285" s="569"/>
      <c r="AL1285" s="569"/>
      <c r="AM1285" s="249"/>
    </row>
    <row r="1286" spans="1:39" s="231" customFormat="1" ht="14.1" customHeight="1" outlineLevel="1">
      <c r="B1286" s="3"/>
      <c r="C1286" s="3"/>
      <c r="D1286" s="3"/>
      <c r="F1286" s="569"/>
      <c r="G1286" s="569"/>
      <c r="H1286" s="569"/>
      <c r="I1286" s="569"/>
      <c r="J1286" s="569"/>
      <c r="K1286" s="569"/>
      <c r="L1286" s="569"/>
      <c r="M1286" s="569"/>
      <c r="N1286" s="569"/>
      <c r="O1286" s="569"/>
      <c r="P1286" s="569"/>
      <c r="Q1286" s="569"/>
      <c r="R1286" s="569"/>
      <c r="S1286" s="569"/>
      <c r="T1286" s="569"/>
      <c r="U1286" s="569"/>
      <c r="V1286" s="569"/>
      <c r="W1286" s="569"/>
      <c r="X1286" s="569"/>
      <c r="Y1286" s="569"/>
      <c r="Z1286" s="569"/>
      <c r="AA1286" s="569"/>
      <c r="AB1286" s="569"/>
      <c r="AC1286" s="569"/>
      <c r="AD1286" s="569"/>
      <c r="AE1286" s="569"/>
      <c r="AF1286" s="569"/>
      <c r="AG1286" s="569"/>
      <c r="AH1286" s="569"/>
      <c r="AI1286" s="569"/>
      <c r="AJ1286" s="569"/>
      <c r="AK1286" s="569"/>
      <c r="AL1286" s="569"/>
      <c r="AM1286" s="109"/>
    </row>
    <row r="1287" spans="1:39" s="231" customFormat="1" ht="14.1" customHeight="1" outlineLevel="1">
      <c r="B1287" s="3"/>
      <c r="C1287" s="3"/>
      <c r="D1287" s="3"/>
      <c r="F1287" s="569"/>
      <c r="G1287" s="569"/>
      <c r="H1287" s="569"/>
      <c r="I1287" s="569"/>
      <c r="J1287" s="569"/>
      <c r="K1287" s="569"/>
      <c r="L1287" s="569"/>
      <c r="M1287" s="569"/>
      <c r="N1287" s="569"/>
      <c r="O1287" s="569"/>
      <c r="P1287" s="569"/>
      <c r="Q1287" s="569"/>
      <c r="R1287" s="569"/>
      <c r="S1287" s="569"/>
      <c r="T1287" s="569"/>
      <c r="U1287" s="569"/>
      <c r="V1287" s="569"/>
      <c r="W1287" s="569"/>
      <c r="X1287" s="569"/>
      <c r="Y1287" s="569"/>
      <c r="Z1287" s="569"/>
      <c r="AA1287" s="569"/>
      <c r="AB1287" s="569"/>
      <c r="AC1287" s="569"/>
      <c r="AD1287" s="569"/>
      <c r="AE1287" s="569"/>
      <c r="AF1287" s="569"/>
      <c r="AG1287" s="569"/>
      <c r="AH1287" s="569"/>
      <c r="AI1287" s="569"/>
      <c r="AJ1287" s="569"/>
      <c r="AK1287" s="569"/>
      <c r="AL1287" s="569"/>
      <c r="AM1287" s="109"/>
    </row>
    <row r="1288" spans="1:39" s="231" customFormat="1" ht="15" outlineLevel="1">
      <c r="B1288" s="3"/>
      <c r="C1288" s="3"/>
      <c r="D1288" s="3"/>
      <c r="F1288" s="109"/>
      <c r="G1288" s="109"/>
      <c r="H1288" s="109"/>
      <c r="I1288" s="109"/>
      <c r="J1288" s="109"/>
      <c r="K1288" s="109"/>
      <c r="L1288" s="109"/>
      <c r="M1288" s="109"/>
      <c r="N1288" s="109"/>
      <c r="O1288" s="109"/>
      <c r="P1288" s="109"/>
      <c r="Q1288" s="109"/>
      <c r="R1288" s="109"/>
      <c r="S1288" s="109"/>
      <c r="T1288" s="109"/>
      <c r="U1288" s="109"/>
      <c r="V1288" s="109"/>
      <c r="W1288" s="109"/>
      <c r="X1288" s="109"/>
      <c r="Y1288" s="109"/>
      <c r="Z1288" s="109"/>
      <c r="AA1288" s="109"/>
      <c r="AB1288" s="109"/>
      <c r="AC1288" s="109"/>
      <c r="AD1288" s="109"/>
      <c r="AE1288" s="109"/>
      <c r="AF1288" s="109"/>
      <c r="AG1288" s="109"/>
      <c r="AH1288" s="109"/>
      <c r="AI1288" s="109"/>
      <c r="AJ1288" s="109"/>
      <c r="AK1288" s="109"/>
      <c r="AL1288" s="109"/>
      <c r="AM1288" s="109"/>
    </row>
    <row r="1289" spans="1:39" s="231" customFormat="1" ht="15" outlineLevel="1">
      <c r="B1289" s="3"/>
      <c r="C1289" s="3"/>
      <c r="D1289" s="3"/>
      <c r="F1289" s="109"/>
      <c r="G1289" s="109"/>
      <c r="H1289" s="109"/>
      <c r="I1289" s="109"/>
      <c r="J1289" s="109"/>
      <c r="K1289" s="109"/>
      <c r="L1289" s="109"/>
      <c r="M1289" s="109"/>
      <c r="N1289" s="109"/>
      <c r="O1289" s="109"/>
      <c r="P1289" s="109"/>
      <c r="Q1289" s="109"/>
      <c r="R1289" s="109"/>
      <c r="S1289" s="109"/>
      <c r="T1289" s="109"/>
      <c r="U1289" s="109"/>
      <c r="V1289" s="109"/>
      <c r="W1289" s="109"/>
      <c r="X1289" s="109"/>
      <c r="Y1289" s="109"/>
      <c r="Z1289" s="109"/>
      <c r="AA1289" s="109"/>
      <c r="AB1289" s="109"/>
      <c r="AC1289" s="109"/>
      <c r="AD1289" s="109"/>
      <c r="AE1289" s="109"/>
      <c r="AF1289" s="109"/>
      <c r="AG1289" s="109"/>
      <c r="AH1289" s="109"/>
      <c r="AI1289" s="109"/>
      <c r="AJ1289" s="109"/>
      <c r="AK1289" s="109"/>
      <c r="AL1289" s="109"/>
      <c r="AM1289" s="109"/>
    </row>
    <row r="1290" spans="1:39" s="231" customFormat="1">
      <c r="B1290" s="46"/>
      <c r="C1290" s="46"/>
      <c r="D1290" s="46"/>
      <c r="E1290" s="234"/>
      <c r="F1290" s="669" t="s">
        <v>11</v>
      </c>
      <c r="G1290" s="669"/>
      <c r="H1290" s="268" t="s">
        <v>370</v>
      </c>
      <c r="I1290" s="268"/>
      <c r="J1290" s="268"/>
      <c r="K1290" s="268"/>
      <c r="L1290" s="268"/>
      <c r="M1290" s="268"/>
      <c r="N1290" s="268"/>
      <c r="O1290" s="268"/>
      <c r="P1290" s="268"/>
      <c r="Q1290" s="268"/>
      <c r="R1290" s="268"/>
      <c r="S1290" s="268"/>
      <c r="T1290" s="268"/>
      <c r="U1290" s="268"/>
      <c r="V1290" s="268"/>
      <c r="W1290" s="268"/>
      <c r="X1290" s="268"/>
      <c r="Y1290" s="268"/>
      <c r="Z1290" s="268"/>
      <c r="AA1290" s="268"/>
      <c r="AB1290" s="268"/>
      <c r="AC1290" s="268"/>
      <c r="AD1290" s="268"/>
      <c r="AE1290" s="268"/>
      <c r="AF1290" s="268"/>
      <c r="AG1290" s="268"/>
      <c r="AH1290" s="268"/>
      <c r="AI1290" s="268"/>
      <c r="AJ1290" s="268"/>
      <c r="AK1290" s="268"/>
      <c r="AL1290" s="268"/>
      <c r="AM1290" s="268"/>
    </row>
    <row r="1291" spans="1:39" s="231" customFormat="1">
      <c r="B1291" s="46"/>
      <c r="C1291" s="46"/>
      <c r="D1291" s="46"/>
    </row>
    <row r="1292" spans="1:39" s="231" customFormat="1" ht="12.75" customHeight="1">
      <c r="B1292" s="46"/>
      <c r="C1292" s="46"/>
      <c r="D1292" s="46"/>
      <c r="F1292" s="569" t="s">
        <v>1651</v>
      </c>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69"/>
      <c r="AL1292" s="273"/>
      <c r="AM1292" s="273"/>
    </row>
    <row r="1293" spans="1:39" s="231" customFormat="1" ht="20.100000000000001" customHeight="1">
      <c r="B1293" s="46"/>
      <c r="C1293" s="46"/>
      <c r="D1293" s="46"/>
      <c r="E1293" s="303"/>
      <c r="F1293" s="569"/>
      <c r="G1293" s="569"/>
      <c r="H1293" s="569"/>
      <c r="I1293" s="569"/>
      <c r="J1293" s="569"/>
      <c r="K1293" s="569"/>
      <c r="L1293" s="569"/>
      <c r="M1293" s="569"/>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69"/>
      <c r="AL1293" s="273"/>
      <c r="AM1293" s="273"/>
    </row>
    <row r="1294" spans="1:39" s="231" customFormat="1" ht="15" customHeight="1">
      <c r="B1294" s="46"/>
      <c r="C1294" s="46"/>
      <c r="D1294" s="46"/>
      <c r="E1294" s="248"/>
      <c r="F1294" s="248"/>
      <c r="G1294" s="248"/>
      <c r="H1294" s="248"/>
      <c r="I1294" s="248"/>
      <c r="J1294" s="248"/>
      <c r="K1294" s="248"/>
      <c r="L1294" s="248"/>
      <c r="M1294" s="248"/>
      <c r="N1294" s="248"/>
      <c r="O1294" s="248"/>
      <c r="P1294" s="248"/>
      <c r="Q1294" s="248"/>
      <c r="R1294" s="248"/>
      <c r="S1294" s="248"/>
      <c r="T1294" s="248"/>
      <c r="U1294" s="248"/>
      <c r="V1294" s="248"/>
      <c r="W1294" s="248"/>
      <c r="X1294" s="248"/>
      <c r="Y1294" s="248"/>
      <c r="Z1294" s="248"/>
      <c r="AA1294" s="310"/>
      <c r="AB1294" s="310"/>
      <c r="AC1294" s="310"/>
      <c r="AD1294" s="310"/>
      <c r="AE1294" s="310"/>
      <c r="AF1294" s="248"/>
      <c r="AG1294" s="248"/>
      <c r="AH1294" s="248"/>
      <c r="AI1294" s="248"/>
      <c r="AJ1294" s="248"/>
      <c r="AK1294" s="248"/>
      <c r="AL1294" s="248"/>
      <c r="AM1294" s="248"/>
    </row>
    <row r="1295" spans="1:39" s="231" customFormat="1" ht="12.75" customHeight="1">
      <c r="B1295" s="46"/>
      <c r="C1295" s="46"/>
      <c r="D1295" s="46"/>
      <c r="E1295" s="248"/>
      <c r="F1295" s="248"/>
      <c r="G1295" s="248"/>
      <c r="H1295" s="248"/>
      <c r="I1295" s="248"/>
      <c r="J1295" s="248"/>
      <c r="K1295" s="248"/>
      <c r="L1295" s="248"/>
      <c r="M1295" s="248"/>
      <c r="N1295" s="248"/>
      <c r="O1295" s="248"/>
      <c r="P1295" s="248"/>
      <c r="Q1295" s="248"/>
      <c r="R1295" s="248"/>
      <c r="S1295" s="248"/>
      <c r="T1295" s="248"/>
      <c r="U1295" s="248"/>
      <c r="V1295" s="248"/>
      <c r="W1295" s="248"/>
      <c r="X1295" s="248"/>
      <c r="Y1295" s="248"/>
      <c r="AA1295" s="596">
        <v>2020</v>
      </c>
      <c r="AB1295" s="596"/>
      <c r="AC1295" s="596"/>
      <c r="AD1295" s="596"/>
      <c r="AE1295" s="596"/>
      <c r="AG1295" s="596">
        <v>2019</v>
      </c>
      <c r="AH1295" s="596"/>
      <c r="AI1295" s="596"/>
      <c r="AJ1295" s="596"/>
      <c r="AK1295" s="596"/>
      <c r="AM1295" s="256"/>
    </row>
    <row r="1296" spans="1:39" s="231" customFormat="1">
      <c r="B1296" s="46"/>
      <c r="C1296" s="46"/>
      <c r="D1296" s="46"/>
      <c r="E1296" s="248"/>
      <c r="F1296" s="248"/>
      <c r="G1296" s="248"/>
      <c r="H1296" s="248"/>
      <c r="I1296" s="248"/>
      <c r="J1296" s="248"/>
      <c r="K1296" s="248"/>
      <c r="L1296" s="248"/>
      <c r="M1296" s="248"/>
      <c r="N1296" s="248"/>
      <c r="O1296" s="248"/>
      <c r="P1296" s="248"/>
      <c r="Q1296" s="248"/>
      <c r="R1296" s="248"/>
      <c r="S1296" s="248"/>
      <c r="T1296" s="248"/>
      <c r="U1296" s="248"/>
      <c r="V1296" s="248"/>
      <c r="W1296" s="248"/>
      <c r="X1296" s="248"/>
      <c r="Y1296" s="248"/>
      <c r="AA1296" s="597"/>
      <c r="AB1296" s="597"/>
      <c r="AC1296" s="597"/>
      <c r="AD1296" s="597"/>
      <c r="AE1296" s="597"/>
      <c r="AG1296" s="597"/>
      <c r="AH1296" s="597"/>
      <c r="AI1296" s="597"/>
      <c r="AJ1296" s="597"/>
      <c r="AK1296" s="597"/>
      <c r="AM1296" s="256"/>
    </row>
    <row r="1297" spans="1:53" s="231" customFormat="1">
      <c r="B1297" s="46"/>
      <c r="C1297" s="46"/>
      <c r="D1297" s="46"/>
      <c r="F1297" s="590" t="s">
        <v>371</v>
      </c>
      <c r="G1297" s="590"/>
      <c r="H1297" s="590"/>
      <c r="I1297" s="590"/>
      <c r="J1297" s="590"/>
      <c r="K1297" s="590"/>
      <c r="L1297" s="590"/>
      <c r="M1297" s="590"/>
      <c r="N1297" s="590"/>
      <c r="O1297" s="590"/>
      <c r="P1297" s="590"/>
      <c r="Q1297" s="590"/>
      <c r="R1297" s="221"/>
      <c r="S1297" s="221"/>
      <c r="T1297" s="221"/>
      <c r="U1297" s="221"/>
      <c r="V1297" s="221"/>
      <c r="W1297" s="221"/>
      <c r="X1297" s="221"/>
      <c r="AA1297" s="566">
        <v>4859</v>
      </c>
      <c r="AB1297" s="566"/>
      <c r="AC1297" s="566"/>
      <c r="AD1297" s="566"/>
      <c r="AE1297" s="566"/>
      <c r="AG1297" s="566">
        <v>2936</v>
      </c>
      <c r="AH1297" s="566"/>
      <c r="AI1297" s="566"/>
      <c r="AJ1297" s="566"/>
      <c r="AK1297" s="566"/>
      <c r="AL1297" s="311"/>
      <c r="AM1297" s="222"/>
      <c r="AW1297" s="231" t="s">
        <v>372</v>
      </c>
    </row>
    <row r="1298" spans="1:53" s="231" customFormat="1" ht="13.5" customHeight="1">
      <c r="B1298" s="46"/>
      <c r="C1298" s="46"/>
      <c r="D1298" s="46"/>
      <c r="F1298" s="590" t="s">
        <v>373</v>
      </c>
      <c r="G1298" s="590"/>
      <c r="H1298" s="590"/>
      <c r="I1298" s="590"/>
      <c r="J1298" s="590"/>
      <c r="K1298" s="590"/>
      <c r="L1298" s="590"/>
      <c r="M1298" s="590"/>
      <c r="N1298" s="590"/>
      <c r="O1298" s="590"/>
      <c r="P1298" s="590"/>
      <c r="Q1298" s="590"/>
      <c r="R1298" s="221"/>
      <c r="S1298" s="221"/>
      <c r="T1298" s="221"/>
      <c r="U1298" s="221"/>
      <c r="V1298" s="221"/>
      <c r="W1298" s="221"/>
      <c r="X1298" s="221"/>
      <c r="AA1298" s="566">
        <v>0</v>
      </c>
      <c r="AB1298" s="566"/>
      <c r="AC1298" s="566"/>
      <c r="AD1298" s="566"/>
      <c r="AE1298" s="566"/>
      <c r="AG1298" s="566">
        <v>0</v>
      </c>
      <c r="AH1298" s="566"/>
      <c r="AI1298" s="566"/>
      <c r="AJ1298" s="566"/>
      <c r="AK1298" s="566"/>
      <c r="AL1298" s="311"/>
      <c r="AM1298" s="222"/>
      <c r="AW1298" s="231" t="s">
        <v>374</v>
      </c>
      <c r="AX1298" s="231" t="s">
        <v>375</v>
      </c>
      <c r="AY1298" s="231" t="s">
        <v>376</v>
      </c>
      <c r="AZ1298" s="231" t="s">
        <v>377</v>
      </c>
      <c r="BA1298" s="231" t="s">
        <v>378</v>
      </c>
    </row>
    <row r="1299" spans="1:53" s="231" customFormat="1" ht="13.5" thickBot="1">
      <c r="B1299" s="46"/>
      <c r="C1299" s="46"/>
      <c r="D1299" s="46"/>
      <c r="AA1299" s="675">
        <f>SUBTOTAL(9,AA1297:AE1298)</f>
        <v>4859</v>
      </c>
      <c r="AB1299" s="675"/>
      <c r="AC1299" s="675"/>
      <c r="AD1299" s="675"/>
      <c r="AE1299" s="675"/>
      <c r="AG1299" s="675">
        <f>SUBTOTAL(9,AG1297:AK1298)</f>
        <v>2936</v>
      </c>
      <c r="AH1299" s="675"/>
      <c r="AI1299" s="675"/>
      <c r="AJ1299" s="675"/>
      <c r="AK1299" s="675"/>
      <c r="AM1299" s="240"/>
    </row>
    <row r="1300" spans="1:53" s="231" customFormat="1" ht="13.5" thickTop="1">
      <c r="B1300" s="46"/>
      <c r="C1300" s="46"/>
      <c r="D1300" s="46"/>
      <c r="AF1300" s="297"/>
      <c r="AG1300" s="297"/>
      <c r="AH1300" s="297"/>
      <c r="AI1300" s="297"/>
      <c r="AJ1300" s="297"/>
      <c r="AK1300" s="266"/>
      <c r="AL1300" s="297"/>
      <c r="AM1300" s="297"/>
    </row>
    <row r="1301" spans="1:53" s="231" customFormat="1">
      <c r="B1301" s="46"/>
      <c r="C1301" s="46"/>
      <c r="D1301" s="46"/>
      <c r="F1301" s="669" t="str">
        <f>(MID(F1290,1,2)+1)&amp;"."</f>
        <v>13.</v>
      </c>
      <c r="G1301" s="669"/>
      <c r="H1301" s="268" t="s">
        <v>379</v>
      </c>
      <c r="I1301" s="268"/>
      <c r="J1301" s="268"/>
      <c r="K1301" s="268"/>
      <c r="L1301" s="268"/>
      <c r="M1301" s="268"/>
      <c r="N1301" s="268"/>
      <c r="O1301" s="268"/>
      <c r="P1301" s="268"/>
      <c r="Q1301" s="268"/>
      <c r="R1301" s="268"/>
      <c r="S1301" s="268"/>
      <c r="T1301" s="268"/>
      <c r="U1301" s="268"/>
      <c r="V1301" s="268"/>
      <c r="W1301" s="268"/>
      <c r="X1301" s="268"/>
      <c r="Y1301" s="268"/>
      <c r="Z1301" s="268"/>
      <c r="AA1301" s="268"/>
      <c r="AB1301" s="268"/>
      <c r="AC1301" s="268"/>
      <c r="AD1301" s="268"/>
      <c r="AE1301" s="268"/>
      <c r="AF1301" s="268"/>
      <c r="AG1301" s="268"/>
      <c r="AH1301" s="268"/>
      <c r="AI1301" s="268"/>
      <c r="AJ1301" s="268"/>
      <c r="AK1301" s="268"/>
      <c r="AL1301" s="268"/>
      <c r="AM1301" s="268"/>
    </row>
    <row r="1302" spans="1:53" s="231" customFormat="1" ht="10.5" customHeight="1">
      <c r="A1302" s="1"/>
      <c r="B1302" s="44"/>
      <c r="C1302" s="45"/>
      <c r="D1302" s="44"/>
    </row>
    <row r="1303" spans="1:53" s="231" customFormat="1" ht="12.75" customHeight="1">
      <c r="B1303" s="46"/>
      <c r="C1303" s="46"/>
      <c r="D1303" s="46"/>
      <c r="F1303" s="569" t="s">
        <v>1652</v>
      </c>
      <c r="G1303" s="569"/>
      <c r="H1303" s="569"/>
      <c r="I1303" s="569"/>
      <c r="J1303" s="569"/>
      <c r="K1303" s="569"/>
      <c r="L1303" s="569"/>
      <c r="M1303" s="569"/>
      <c r="N1303" s="569"/>
      <c r="O1303" s="569"/>
      <c r="P1303" s="569"/>
      <c r="Q1303" s="569"/>
      <c r="R1303" s="569"/>
      <c r="S1303" s="569"/>
      <c r="T1303" s="569"/>
      <c r="U1303" s="569"/>
      <c r="V1303" s="569"/>
      <c r="W1303" s="569"/>
      <c r="X1303" s="569"/>
      <c r="Y1303" s="569"/>
      <c r="Z1303" s="569"/>
      <c r="AA1303" s="569"/>
      <c r="AB1303" s="569"/>
      <c r="AC1303" s="569"/>
      <c r="AD1303" s="569"/>
      <c r="AE1303" s="569"/>
      <c r="AF1303" s="569"/>
      <c r="AG1303" s="569"/>
      <c r="AH1303" s="569"/>
      <c r="AI1303" s="569"/>
      <c r="AJ1303" s="569"/>
      <c r="AK1303" s="569"/>
      <c r="AL1303" s="569"/>
      <c r="AM1303" s="273"/>
    </row>
    <row r="1304" spans="1:53" s="231" customFormat="1">
      <c r="B1304" s="46"/>
      <c r="C1304" s="46"/>
      <c r="D1304" s="46"/>
      <c r="F1304" s="569"/>
      <c r="G1304" s="569"/>
      <c r="H1304" s="569"/>
      <c r="I1304" s="569"/>
      <c r="J1304" s="569"/>
      <c r="K1304" s="569"/>
      <c r="L1304" s="569"/>
      <c r="M1304" s="569"/>
      <c r="N1304" s="569"/>
      <c r="O1304" s="569"/>
      <c r="P1304" s="569"/>
      <c r="Q1304" s="569"/>
      <c r="R1304" s="569"/>
      <c r="S1304" s="569"/>
      <c r="T1304" s="569"/>
      <c r="U1304" s="569"/>
      <c r="V1304" s="569"/>
      <c r="W1304" s="569"/>
      <c r="X1304" s="569"/>
      <c r="Y1304" s="569"/>
      <c r="Z1304" s="569"/>
      <c r="AA1304" s="569"/>
      <c r="AB1304" s="569"/>
      <c r="AC1304" s="569"/>
      <c r="AD1304" s="569"/>
      <c r="AE1304" s="569"/>
      <c r="AF1304" s="569"/>
      <c r="AG1304" s="569"/>
      <c r="AH1304" s="569"/>
      <c r="AI1304" s="569"/>
      <c r="AJ1304" s="569"/>
      <c r="AK1304" s="569"/>
      <c r="AL1304" s="569"/>
      <c r="AM1304" s="273"/>
    </row>
    <row r="1305" spans="1:53" s="231" customFormat="1" ht="9" customHeight="1">
      <c r="B1305" s="46"/>
      <c r="C1305" s="46"/>
      <c r="D1305" s="46"/>
      <c r="F1305" s="229"/>
      <c r="G1305" s="229"/>
      <c r="H1305" s="229"/>
      <c r="I1305" s="229"/>
      <c r="J1305" s="229"/>
      <c r="K1305" s="229"/>
      <c r="L1305" s="229"/>
      <c r="M1305" s="229"/>
      <c r="N1305" s="229"/>
      <c r="O1305" s="229"/>
      <c r="P1305" s="229"/>
      <c r="Q1305" s="229"/>
      <c r="R1305" s="229"/>
      <c r="S1305" s="229"/>
      <c r="T1305" s="229"/>
      <c r="U1305" s="229"/>
      <c r="V1305" s="229"/>
      <c r="W1305" s="229"/>
      <c r="X1305" s="229"/>
      <c r="Y1305" s="229"/>
      <c r="Z1305" s="43"/>
      <c r="AA1305" s="43"/>
      <c r="AB1305" s="43"/>
      <c r="AC1305" s="43"/>
      <c r="AD1305" s="43"/>
      <c r="AE1305" s="43"/>
      <c r="AF1305" s="43"/>
      <c r="AG1305" s="229"/>
      <c r="AH1305" s="229"/>
      <c r="AI1305" s="229"/>
      <c r="AJ1305" s="229"/>
      <c r="AK1305" s="229"/>
      <c r="AL1305" s="229"/>
      <c r="AM1305" s="229"/>
    </row>
    <row r="1306" spans="1:53" s="231" customFormat="1">
      <c r="B1306" s="46"/>
      <c r="C1306" s="46"/>
      <c r="D1306" s="46"/>
      <c r="Z1306" s="121"/>
      <c r="AA1306" s="596">
        <f>AA1295</f>
        <v>2020</v>
      </c>
      <c r="AB1306" s="596"/>
      <c r="AC1306" s="596"/>
      <c r="AD1306" s="596"/>
      <c r="AE1306" s="596"/>
      <c r="AF1306" s="121"/>
      <c r="AG1306" s="596">
        <v>2019</v>
      </c>
      <c r="AH1306" s="596"/>
      <c r="AI1306" s="596"/>
      <c r="AJ1306" s="596"/>
      <c r="AK1306" s="596"/>
      <c r="AM1306" s="256"/>
    </row>
    <row r="1307" spans="1:53" s="231" customFormat="1">
      <c r="B1307" s="46"/>
      <c r="C1307" s="46"/>
      <c r="D1307" s="46"/>
      <c r="Z1307" s="121"/>
      <c r="AA1307" s="597"/>
      <c r="AB1307" s="597"/>
      <c r="AC1307" s="597"/>
      <c r="AD1307" s="597"/>
      <c r="AE1307" s="597"/>
      <c r="AF1307" s="121"/>
      <c r="AG1307" s="597"/>
      <c r="AH1307" s="597"/>
      <c r="AI1307" s="597"/>
      <c r="AJ1307" s="597"/>
      <c r="AK1307" s="597"/>
      <c r="AM1307" s="256"/>
    </row>
    <row r="1308" spans="1:53" s="231" customFormat="1">
      <c r="B1308" s="46"/>
      <c r="C1308" s="46"/>
      <c r="D1308" s="46"/>
      <c r="F1308" s="568" t="s">
        <v>380</v>
      </c>
      <c r="G1308" s="568"/>
      <c r="H1308" s="568"/>
      <c r="I1308" s="568"/>
      <c r="J1308" s="568"/>
      <c r="K1308" s="568"/>
      <c r="L1308" s="568"/>
      <c r="M1308" s="568"/>
      <c r="N1308" s="568"/>
      <c r="O1308" s="568"/>
      <c r="P1308" s="568"/>
      <c r="Q1308" s="568"/>
      <c r="R1308" s="568"/>
      <c r="S1308" s="568"/>
      <c r="T1308" s="568"/>
      <c r="U1308" s="568"/>
      <c r="V1308" s="568"/>
      <c r="W1308" s="568"/>
      <c r="Z1308" s="121"/>
      <c r="AA1308" s="566">
        <v>170</v>
      </c>
      <c r="AB1308" s="566"/>
      <c r="AC1308" s="566"/>
      <c r="AD1308" s="566"/>
      <c r="AE1308" s="566"/>
      <c r="AF1308" s="121"/>
      <c r="AG1308" s="566">
        <v>137</v>
      </c>
      <c r="AH1308" s="566"/>
      <c r="AI1308" s="566"/>
      <c r="AJ1308" s="566"/>
      <c r="AK1308" s="566"/>
      <c r="AL1308" s="311"/>
      <c r="AM1308" s="222"/>
      <c r="AW1308" s="231" t="s">
        <v>381</v>
      </c>
      <c r="AX1308" s="231" t="s">
        <v>382</v>
      </c>
    </row>
    <row r="1309" spans="1:53" s="231" customFormat="1" ht="13.5" thickBot="1">
      <c r="B1309" s="46"/>
      <c r="C1309" s="46"/>
      <c r="D1309" s="46"/>
      <c r="Z1309" s="121"/>
      <c r="AA1309" s="677">
        <f>AA1308</f>
        <v>170</v>
      </c>
      <c r="AB1309" s="677"/>
      <c r="AC1309" s="677"/>
      <c r="AD1309" s="677"/>
      <c r="AE1309" s="677"/>
      <c r="AF1309" s="121"/>
      <c r="AG1309" s="677">
        <f>SUBTOTAL(9,AG1308:AK1308)</f>
        <v>137</v>
      </c>
      <c r="AH1309" s="677"/>
      <c r="AI1309" s="677"/>
      <c r="AJ1309" s="677"/>
      <c r="AK1309" s="677"/>
      <c r="AL1309" s="312"/>
      <c r="AM1309" s="295"/>
    </row>
    <row r="1310" spans="1:53" s="231" customFormat="1" ht="15" customHeight="1" thickTop="1">
      <c r="B1310" s="46"/>
      <c r="C1310" s="46"/>
      <c r="D1310" s="46"/>
      <c r="Z1310" s="121"/>
      <c r="AA1310" s="294"/>
      <c r="AB1310" s="294"/>
      <c r="AC1310" s="294"/>
      <c r="AD1310" s="294"/>
      <c r="AE1310" s="294"/>
      <c r="AF1310" s="121"/>
      <c r="AG1310" s="294"/>
      <c r="AH1310" s="294"/>
      <c r="AI1310" s="294"/>
      <c r="AJ1310" s="294"/>
      <c r="AK1310" s="294"/>
      <c r="AL1310" s="312"/>
      <c r="AM1310" s="294"/>
    </row>
    <row r="1311" spans="1:53" s="231" customFormat="1" ht="15" customHeight="1">
      <c r="B1311" s="3"/>
      <c r="C1311" s="3"/>
      <c r="D1311" s="3"/>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358" t="s">
        <v>24</v>
      </c>
      <c r="AK1311" s="612">
        <f>AK1222+1</f>
        <v>20</v>
      </c>
      <c r="AL1311" s="612"/>
      <c r="AM1311" s="358" t="s">
        <v>24</v>
      </c>
    </row>
    <row r="1312" spans="1:53" s="361" customFormat="1" ht="15" customHeight="1">
      <c r="E1312" s="366"/>
      <c r="F1312" s="366"/>
      <c r="G1312" s="366"/>
      <c r="H1312" s="366"/>
      <c r="I1312" s="366"/>
      <c r="J1312" s="366"/>
      <c r="K1312" s="366"/>
      <c r="L1312" s="366"/>
      <c r="M1312" s="366"/>
      <c r="N1312" s="366"/>
      <c r="O1312" s="366"/>
      <c r="P1312" s="366"/>
      <c r="Q1312" s="366"/>
      <c r="R1312" s="366"/>
      <c r="S1312" s="366"/>
      <c r="T1312" s="366"/>
      <c r="U1312" s="366"/>
      <c r="V1312" s="366"/>
      <c r="W1312" s="366"/>
      <c r="X1312" s="366"/>
      <c r="Y1312" s="366"/>
      <c r="Z1312" s="366"/>
      <c r="AA1312" s="366"/>
      <c r="AB1312" s="366"/>
      <c r="AC1312" s="366"/>
      <c r="AD1312" s="366"/>
      <c r="AE1312" s="366"/>
      <c r="AF1312" s="366"/>
      <c r="AG1312" s="366"/>
      <c r="AH1312" s="366"/>
      <c r="AI1312" s="366"/>
      <c r="AJ1312" s="362"/>
      <c r="AK1312" s="362"/>
      <c r="AL1312" s="362"/>
      <c r="AM1312" s="362"/>
    </row>
    <row r="1313" spans="1:39" s="361" customFormat="1" ht="15" customHeight="1">
      <c r="E1313" s="366"/>
      <c r="F1313" s="366"/>
      <c r="G1313" s="366"/>
      <c r="H1313" s="366"/>
      <c r="I1313" s="366"/>
      <c r="J1313" s="366"/>
      <c r="K1313" s="366"/>
      <c r="L1313" s="366"/>
      <c r="M1313" s="366"/>
      <c r="N1313" s="366"/>
      <c r="O1313" s="366"/>
      <c r="P1313" s="366"/>
      <c r="Q1313" s="366"/>
      <c r="R1313" s="366"/>
      <c r="S1313" s="366"/>
      <c r="T1313" s="366"/>
      <c r="U1313" s="366"/>
      <c r="V1313" s="366"/>
      <c r="W1313" s="366"/>
      <c r="X1313" s="366"/>
      <c r="Y1313" s="366"/>
      <c r="Z1313" s="366"/>
      <c r="AA1313" s="366"/>
      <c r="AB1313" s="366"/>
      <c r="AC1313" s="366"/>
      <c r="AD1313" s="366"/>
      <c r="AE1313" s="366"/>
      <c r="AF1313" s="366"/>
      <c r="AG1313" s="366"/>
      <c r="AH1313" s="366"/>
      <c r="AI1313" s="366"/>
      <c r="AJ1313" s="362"/>
      <c r="AK1313" s="362"/>
      <c r="AL1313" s="362"/>
      <c r="AM1313" s="362"/>
    </row>
    <row r="1314" spans="1:39" s="361" customFormat="1" ht="15" customHeight="1">
      <c r="E1314" s="366"/>
      <c r="F1314" s="366"/>
      <c r="G1314" s="366"/>
      <c r="H1314" s="366"/>
      <c r="I1314" s="366"/>
      <c r="J1314" s="366"/>
      <c r="K1314" s="366"/>
      <c r="L1314" s="366"/>
      <c r="M1314" s="366"/>
      <c r="N1314" s="366"/>
      <c r="O1314" s="366"/>
      <c r="P1314" s="366"/>
      <c r="Q1314" s="366"/>
      <c r="R1314" s="366"/>
      <c r="S1314" s="366"/>
      <c r="T1314" s="366"/>
      <c r="U1314" s="366"/>
      <c r="V1314" s="366"/>
      <c r="W1314" s="366"/>
      <c r="X1314" s="366"/>
      <c r="Y1314" s="366"/>
      <c r="Z1314" s="366"/>
      <c r="AA1314" s="366"/>
      <c r="AB1314" s="366"/>
      <c r="AC1314" s="366"/>
      <c r="AD1314" s="366"/>
      <c r="AE1314" s="366"/>
      <c r="AF1314" s="366"/>
      <c r="AG1314" s="366"/>
      <c r="AH1314" s="366"/>
      <c r="AI1314" s="366"/>
      <c r="AJ1314" s="362"/>
      <c r="AK1314" s="362"/>
      <c r="AL1314" s="362"/>
      <c r="AM1314" s="362"/>
    </row>
    <row r="1315" spans="1:39" s="231" customFormat="1" ht="15" customHeight="1">
      <c r="E1315" s="265" t="str">
        <f>UPPER($Y$28)</f>
        <v>ПТ ЛОМБАРД "МЕРКУРІЙ"</v>
      </c>
      <c r="F1315" s="265"/>
      <c r="G1315" s="265"/>
      <c r="H1315" s="265"/>
      <c r="I1315" s="265"/>
      <c r="J1315" s="265"/>
      <c r="K1315" s="265"/>
      <c r="L1315" s="265"/>
      <c r="M1315" s="265"/>
      <c r="N1315" s="265"/>
      <c r="O1315" s="265"/>
      <c r="P1315" s="265"/>
      <c r="Q1315" s="265"/>
      <c r="R1315" s="265"/>
      <c r="S1315" s="265"/>
      <c r="T1315" s="265"/>
      <c r="U1315" s="265"/>
      <c r="V1315" s="265"/>
      <c r="W1315" s="265"/>
      <c r="X1315" s="265"/>
      <c r="Y1315" s="265"/>
      <c r="Z1315" s="265"/>
      <c r="AA1315" s="265"/>
      <c r="AB1315" s="265"/>
      <c r="AC1315" s="265"/>
      <c r="AD1315" s="265"/>
      <c r="AE1315" s="265"/>
      <c r="AF1315" s="265"/>
      <c r="AG1315" s="265"/>
      <c r="AH1315" s="265"/>
      <c r="AI1315" s="265"/>
      <c r="AJ1315" s="265"/>
      <c r="AK1315" s="265"/>
      <c r="AL1315" s="265"/>
      <c r="AM1315" s="265"/>
    </row>
    <row r="1316" spans="1:39" s="231" customFormat="1" ht="15" customHeight="1">
      <c r="E1316" s="269" t="s">
        <v>143</v>
      </c>
      <c r="F1316" s="269"/>
      <c r="G1316" s="269"/>
      <c r="H1316" s="269"/>
      <c r="I1316" s="269"/>
      <c r="J1316" s="269"/>
      <c r="K1316" s="269"/>
      <c r="L1316" s="269"/>
      <c r="M1316" s="269"/>
      <c r="N1316" s="269"/>
      <c r="O1316" s="269"/>
      <c r="P1316" s="269"/>
      <c r="Q1316" s="269"/>
      <c r="R1316" s="269"/>
      <c r="S1316" s="269"/>
      <c r="T1316" s="269"/>
      <c r="U1316" s="269"/>
      <c r="V1316" s="269"/>
      <c r="W1316" s="269"/>
      <c r="X1316" s="269"/>
      <c r="Y1316" s="269"/>
      <c r="Z1316" s="269"/>
      <c r="AA1316" s="269"/>
      <c r="AB1316" s="269"/>
      <c r="AC1316" s="269"/>
      <c r="AD1316" s="269"/>
      <c r="AE1316" s="269"/>
      <c r="AF1316" s="269"/>
      <c r="AG1316" s="269"/>
      <c r="AH1316" s="269"/>
      <c r="AI1316" s="269"/>
      <c r="AJ1316" s="269"/>
      <c r="AK1316" s="269"/>
      <c r="AL1316" s="269"/>
      <c r="AM1316" s="269"/>
    </row>
    <row r="1317" spans="1:39" s="231" customFormat="1">
      <c r="E1317" s="269" t="str">
        <f>$E$274</f>
        <v>ЗА РІК, ЩО ЗАКІНЧИВСЯ 31 ГРУДНЯ 2020 РОКУ</v>
      </c>
      <c r="F1317" s="269"/>
      <c r="G1317" s="269"/>
      <c r="H1317" s="269"/>
      <c r="I1317" s="269"/>
      <c r="J1317" s="269"/>
      <c r="K1317" s="269"/>
      <c r="L1317" s="269"/>
      <c r="M1317" s="269"/>
      <c r="N1317" s="269"/>
      <c r="O1317" s="269"/>
      <c r="P1317" s="269"/>
      <c r="Q1317" s="269"/>
      <c r="R1317" s="269"/>
      <c r="S1317" s="269"/>
      <c r="T1317" s="269"/>
      <c r="U1317" s="269"/>
      <c r="V1317" s="269"/>
      <c r="W1317" s="269"/>
      <c r="X1317" s="269"/>
      <c r="Y1317" s="269"/>
      <c r="Z1317" s="269"/>
      <c r="AA1317" s="269"/>
      <c r="AB1317" s="269"/>
      <c r="AC1317" s="269"/>
      <c r="AD1317" s="269"/>
      <c r="AE1317" s="269"/>
      <c r="AF1317" s="269"/>
      <c r="AG1317" s="269"/>
      <c r="AH1317" s="269"/>
      <c r="AI1317" s="269"/>
      <c r="AJ1317" s="269"/>
      <c r="AK1317" s="269"/>
      <c r="AL1317" s="269"/>
      <c r="AM1317" s="269"/>
    </row>
    <row r="1318" spans="1:39" s="231" customFormat="1">
      <c r="E1318" s="244" t="str">
        <f>$E$209</f>
        <v>(в тисячах гривень, якщо не вказано інше)</v>
      </c>
      <c r="F1318" s="244"/>
      <c r="G1318" s="244"/>
      <c r="H1318" s="244"/>
      <c r="I1318" s="244"/>
      <c r="J1318" s="244"/>
      <c r="K1318" s="244"/>
      <c r="L1318" s="244"/>
      <c r="M1318" s="244"/>
      <c r="N1318" s="244"/>
      <c r="O1318" s="244"/>
      <c r="P1318" s="244"/>
      <c r="Q1318" s="244"/>
      <c r="R1318" s="244"/>
      <c r="S1318" s="244"/>
      <c r="T1318" s="244"/>
      <c r="U1318" s="244"/>
      <c r="V1318" s="244"/>
      <c r="W1318" s="244"/>
      <c r="X1318" s="244"/>
      <c r="Y1318" s="244"/>
      <c r="Z1318" s="244"/>
      <c r="AA1318" s="244"/>
      <c r="AB1318" s="244"/>
      <c r="AC1318" s="244"/>
      <c r="AD1318" s="244"/>
      <c r="AE1318" s="244"/>
      <c r="AF1318" s="244"/>
      <c r="AG1318" s="244"/>
      <c r="AH1318" s="244"/>
      <c r="AI1318" s="244"/>
      <c r="AJ1318" s="244"/>
      <c r="AK1318" s="244"/>
      <c r="AL1318" s="244"/>
      <c r="AM1318" s="244"/>
    </row>
    <row r="1319" spans="1:39" s="231" customFormat="1">
      <c r="B1319" s="3"/>
      <c r="C1319" s="3"/>
      <c r="D1319" s="3"/>
      <c r="E1319" s="265"/>
      <c r="F1319" s="265"/>
      <c r="G1319" s="265"/>
      <c r="H1319" s="265"/>
      <c r="I1319" s="265"/>
      <c r="J1319" s="265"/>
      <c r="K1319" s="265"/>
      <c r="L1319" s="265"/>
      <c r="M1319" s="265"/>
      <c r="N1319" s="265"/>
      <c r="O1319" s="265"/>
      <c r="P1319" s="265"/>
      <c r="Q1319" s="265"/>
      <c r="R1319" s="265"/>
      <c r="S1319" s="265"/>
      <c r="T1319" s="265"/>
      <c r="U1319" s="265"/>
      <c r="V1319" s="265"/>
      <c r="W1319" s="265"/>
      <c r="X1319" s="265"/>
      <c r="Y1319" s="265"/>
      <c r="Z1319" s="265"/>
      <c r="AA1319" s="265"/>
      <c r="AB1319" s="265"/>
      <c r="AC1319" s="265"/>
      <c r="AD1319" s="265"/>
      <c r="AE1319" s="265"/>
      <c r="AF1319" s="265"/>
      <c r="AG1319" s="265"/>
      <c r="AH1319" s="265"/>
      <c r="AI1319" s="265"/>
      <c r="AJ1319" s="265"/>
      <c r="AK1319" s="265"/>
      <c r="AL1319" s="265"/>
      <c r="AM1319" s="265"/>
    </row>
    <row r="1320" spans="1:39" s="231" customFormat="1">
      <c r="B1320" s="3"/>
      <c r="C1320" s="3"/>
      <c r="D1320" s="3"/>
      <c r="E1320" s="265"/>
      <c r="F1320" s="265"/>
      <c r="G1320" s="265"/>
      <c r="H1320" s="265"/>
      <c r="I1320" s="265"/>
      <c r="J1320" s="265"/>
      <c r="K1320" s="265"/>
      <c r="L1320" s="265"/>
      <c r="M1320" s="265"/>
      <c r="N1320" s="265"/>
      <c r="O1320" s="265"/>
      <c r="P1320" s="265"/>
      <c r="Q1320" s="265"/>
      <c r="R1320" s="265"/>
      <c r="S1320" s="265"/>
      <c r="T1320" s="265"/>
      <c r="U1320" s="265"/>
      <c r="V1320" s="265"/>
      <c r="W1320" s="265"/>
      <c r="X1320" s="265"/>
      <c r="Y1320" s="265"/>
      <c r="Z1320" s="265"/>
      <c r="AA1320" s="265"/>
      <c r="AB1320" s="265"/>
      <c r="AC1320" s="265"/>
      <c r="AD1320" s="265"/>
      <c r="AE1320" s="265"/>
      <c r="AF1320" s="265"/>
      <c r="AG1320" s="265"/>
      <c r="AH1320" s="265"/>
      <c r="AI1320" s="265"/>
      <c r="AJ1320" s="265"/>
      <c r="AK1320" s="265"/>
      <c r="AL1320" s="265"/>
      <c r="AM1320" s="265"/>
    </row>
    <row r="1321" spans="1:39" s="231" customFormat="1">
      <c r="B1321" s="46"/>
      <c r="C1321" s="46"/>
      <c r="D1321" s="46"/>
      <c r="F1321" s="669" t="s">
        <v>13</v>
      </c>
      <c r="G1321" s="669"/>
      <c r="H1321" s="698" t="s">
        <v>383</v>
      </c>
      <c r="I1321" s="698"/>
      <c r="J1321" s="698"/>
      <c r="K1321" s="698"/>
      <c r="L1321" s="698"/>
      <c r="M1321" s="698"/>
      <c r="N1321" s="698"/>
      <c r="O1321" s="698"/>
      <c r="P1321" s="698"/>
      <c r="Q1321" s="698"/>
      <c r="R1321" s="698"/>
      <c r="S1321" s="698"/>
      <c r="T1321" s="698"/>
      <c r="U1321" s="698"/>
      <c r="V1321" s="698"/>
      <c r="W1321" s="698"/>
      <c r="X1321" s="698"/>
      <c r="Y1321" s="698"/>
      <c r="Z1321" s="698"/>
      <c r="AA1321" s="698"/>
      <c r="AB1321" s="698"/>
      <c r="AC1321" s="698"/>
      <c r="AD1321" s="698"/>
      <c r="AE1321" s="698"/>
      <c r="AF1321" s="698"/>
    </row>
    <row r="1322" spans="1:39" s="231" customFormat="1" ht="11.25" customHeight="1">
      <c r="A1322" s="1"/>
      <c r="B1322" s="44"/>
      <c r="C1322" s="45"/>
      <c r="D1322" s="44"/>
    </row>
    <row r="1323" spans="1:39" s="231" customFormat="1" ht="12.75" customHeight="1">
      <c r="B1323" s="46"/>
      <c r="C1323" s="46"/>
      <c r="D1323" s="46"/>
      <c r="F1323" s="569" t="s">
        <v>1653</v>
      </c>
      <c r="G1323" s="569"/>
      <c r="H1323" s="569"/>
      <c r="I1323" s="569"/>
      <c r="J1323" s="569"/>
      <c r="K1323" s="569"/>
      <c r="L1323" s="569"/>
      <c r="M1323" s="569"/>
      <c r="N1323" s="569"/>
      <c r="O1323" s="569"/>
      <c r="P1323" s="569"/>
      <c r="Q1323" s="569"/>
      <c r="R1323" s="569"/>
      <c r="S1323" s="569"/>
      <c r="T1323" s="569"/>
      <c r="U1323" s="569"/>
      <c r="V1323" s="569"/>
      <c r="W1323" s="569"/>
      <c r="X1323" s="569"/>
      <c r="Y1323" s="569"/>
      <c r="Z1323" s="569"/>
      <c r="AA1323" s="569"/>
      <c r="AB1323" s="569"/>
      <c r="AC1323" s="569"/>
      <c r="AD1323" s="569"/>
      <c r="AE1323" s="569"/>
      <c r="AF1323" s="569"/>
      <c r="AG1323" s="569"/>
      <c r="AH1323" s="569"/>
      <c r="AI1323" s="569"/>
      <c r="AJ1323" s="569"/>
      <c r="AK1323" s="569"/>
      <c r="AL1323" s="569"/>
      <c r="AM1323" s="249"/>
    </row>
    <row r="1324" spans="1:39" s="231" customFormat="1" ht="9" customHeight="1">
      <c r="B1324" s="46"/>
      <c r="C1324" s="46"/>
      <c r="D1324" s="46"/>
      <c r="F1324" s="109"/>
      <c r="G1324" s="109"/>
      <c r="H1324" s="109"/>
      <c r="I1324" s="109"/>
      <c r="J1324" s="109"/>
      <c r="K1324" s="109"/>
      <c r="L1324" s="109"/>
      <c r="M1324" s="109"/>
      <c r="N1324" s="109"/>
      <c r="O1324" s="109"/>
      <c r="P1324" s="109"/>
      <c r="Q1324" s="109"/>
      <c r="R1324" s="109"/>
      <c r="S1324" s="109"/>
      <c r="T1324" s="109"/>
      <c r="U1324" s="109"/>
      <c r="V1324" s="109"/>
      <c r="W1324" s="109"/>
      <c r="X1324" s="109"/>
      <c r="Y1324" s="109"/>
      <c r="Z1324" s="109"/>
      <c r="AA1324" s="109"/>
      <c r="AB1324" s="109"/>
      <c r="AC1324" s="109"/>
      <c r="AD1324" s="109"/>
      <c r="AE1324" s="109"/>
      <c r="AF1324" s="109"/>
      <c r="AG1324" s="109"/>
      <c r="AH1324" s="109"/>
      <c r="AI1324" s="109"/>
      <c r="AJ1324" s="109"/>
      <c r="AK1324" s="109"/>
      <c r="AL1324" s="109"/>
      <c r="AM1324" s="109"/>
    </row>
    <row r="1325" spans="1:39" s="231" customFormat="1">
      <c r="B1325" s="46"/>
      <c r="C1325" s="46"/>
      <c r="D1325" s="46"/>
      <c r="F1325" s="314"/>
      <c r="G1325" s="314"/>
      <c r="H1325" s="314"/>
      <c r="I1325" s="314"/>
      <c r="J1325" s="314"/>
      <c r="K1325" s="314"/>
      <c r="L1325" s="314"/>
      <c r="M1325" s="314"/>
      <c r="N1325" s="314"/>
      <c r="O1325" s="314"/>
      <c r="P1325" s="314"/>
      <c r="Q1325" s="314"/>
      <c r="R1325" s="314"/>
      <c r="S1325" s="315"/>
      <c r="T1325" s="596" t="s">
        <v>384</v>
      </c>
      <c r="U1325" s="596"/>
      <c r="V1325" s="596"/>
      <c r="W1325" s="596"/>
      <c r="X1325" s="596"/>
      <c r="Y1325" s="596"/>
      <c r="Z1325" s="596"/>
      <c r="AA1325" s="596"/>
      <c r="AB1325" s="596" t="s">
        <v>385</v>
      </c>
      <c r="AC1325" s="596"/>
      <c r="AD1325" s="596"/>
      <c r="AE1325" s="596"/>
    </row>
    <row r="1326" spans="1:39" s="231" customFormat="1" ht="12.75" customHeight="1">
      <c r="B1326" s="46"/>
      <c r="C1326" s="46"/>
      <c r="D1326" s="46"/>
      <c r="F1326" s="264" t="s">
        <v>386</v>
      </c>
      <c r="G1326" s="264"/>
      <c r="H1326" s="264"/>
      <c r="I1326" s="264"/>
      <c r="J1326" s="264"/>
      <c r="K1326" s="264"/>
      <c r="L1326" s="264"/>
      <c r="M1326" s="264"/>
      <c r="N1326" s="264"/>
      <c r="O1326" s="264"/>
      <c r="P1326" s="264"/>
      <c r="Q1326" s="264"/>
      <c r="R1326" s="264"/>
      <c r="S1326" s="315"/>
      <c r="T1326" s="597"/>
      <c r="U1326" s="597"/>
      <c r="V1326" s="597"/>
      <c r="W1326" s="597"/>
      <c r="X1326" s="597"/>
      <c r="Y1326" s="597"/>
      <c r="Z1326" s="597"/>
      <c r="AA1326" s="597"/>
      <c r="AB1326" s="700"/>
      <c r="AC1326" s="700"/>
      <c r="AD1326" s="700"/>
      <c r="AE1326" s="700"/>
    </row>
    <row r="1327" spans="1:39" s="231" customFormat="1" ht="14.25" customHeight="1">
      <c r="B1327" s="46"/>
      <c r="C1327" s="46"/>
      <c r="D1327" s="46"/>
      <c r="F1327" s="755" t="s">
        <v>387</v>
      </c>
      <c r="G1327" s="755"/>
      <c r="H1327" s="755"/>
      <c r="I1327" s="755"/>
      <c r="J1327" s="755"/>
      <c r="K1327" s="755"/>
      <c r="L1327" s="755"/>
      <c r="M1327" s="755"/>
      <c r="N1327" s="755"/>
      <c r="O1327" s="755"/>
      <c r="P1327" s="755"/>
      <c r="Q1327" s="755"/>
      <c r="R1327" s="755"/>
      <c r="S1327" s="259"/>
      <c r="T1327" s="695">
        <v>846</v>
      </c>
      <c r="U1327" s="695"/>
      <c r="V1327" s="695"/>
      <c r="W1327" s="695"/>
      <c r="X1327" s="695"/>
      <c r="Y1327" s="695"/>
      <c r="Z1327" s="695"/>
      <c r="AA1327" s="695"/>
      <c r="AB1327" s="696">
        <v>0.91</v>
      </c>
      <c r="AC1327" s="696"/>
      <c r="AD1327" s="696"/>
      <c r="AE1327" s="696"/>
    </row>
    <row r="1328" spans="1:39" s="231" customFormat="1" ht="12" customHeight="1">
      <c r="B1328" s="46"/>
      <c r="C1328" s="46"/>
      <c r="D1328" s="46"/>
      <c r="F1328" s="639" t="s">
        <v>388</v>
      </c>
      <c r="G1328" s="639"/>
      <c r="H1328" s="639"/>
      <c r="I1328" s="639"/>
      <c r="J1328" s="639"/>
      <c r="K1328" s="639"/>
      <c r="L1328" s="639"/>
      <c r="M1328" s="639"/>
      <c r="N1328" s="639"/>
      <c r="O1328" s="639"/>
      <c r="P1328" s="639"/>
      <c r="Q1328" s="639"/>
      <c r="R1328" s="639"/>
      <c r="S1328" s="315"/>
      <c r="T1328" s="701">
        <v>84</v>
      </c>
      <c r="U1328" s="701"/>
      <c r="V1328" s="701"/>
      <c r="W1328" s="701"/>
      <c r="X1328" s="701"/>
      <c r="Y1328" s="701"/>
      <c r="Z1328" s="701"/>
      <c r="AA1328" s="701"/>
      <c r="AB1328" s="702">
        <f>T1328/$T$1329</f>
        <v>9.0322580645161285E-2</v>
      </c>
      <c r="AC1328" s="702"/>
      <c r="AD1328" s="702"/>
      <c r="AE1328" s="702"/>
    </row>
    <row r="1329" spans="1:41" s="231" customFormat="1" ht="13.5" thickBot="1">
      <c r="B1329" s="46"/>
      <c r="C1329" s="46"/>
      <c r="D1329" s="46"/>
      <c r="F1329" s="235"/>
      <c r="G1329" s="235"/>
      <c r="H1329" s="235"/>
      <c r="I1329" s="235"/>
      <c r="J1329" s="235"/>
      <c r="K1329" s="235"/>
      <c r="L1329" s="235"/>
      <c r="M1329" s="235"/>
      <c r="N1329" s="235"/>
      <c r="O1329" s="235"/>
      <c r="P1329" s="235"/>
      <c r="Q1329" s="235"/>
      <c r="R1329" s="235"/>
      <c r="S1329" s="235"/>
      <c r="T1329" s="697">
        <f>SUBTOTAL(9,T1327:W1328)</f>
        <v>930</v>
      </c>
      <c r="U1329" s="697"/>
      <c r="V1329" s="697"/>
      <c r="W1329" s="697"/>
      <c r="X1329" s="697"/>
      <c r="Y1329" s="697"/>
      <c r="Z1329" s="697"/>
      <c r="AA1329" s="697"/>
      <c r="AB1329" s="699">
        <f>SUBTOTAL(9,AB1327:AE1328)</f>
        <v>1.0003225806451612</v>
      </c>
      <c r="AC1329" s="699"/>
      <c r="AD1329" s="699"/>
      <c r="AE1329" s="699"/>
    </row>
    <row r="1330" spans="1:41" s="231" customFormat="1" ht="13.5" thickTop="1">
      <c r="B1330" s="46"/>
      <c r="C1330" s="46"/>
      <c r="D1330" s="46"/>
      <c r="AG1330" s="294"/>
      <c r="AH1330" s="294"/>
      <c r="AI1330" s="294"/>
      <c r="AJ1330" s="294"/>
      <c r="AK1330" s="294"/>
      <c r="AL1330" s="312"/>
      <c r="AM1330" s="294"/>
    </row>
    <row r="1331" spans="1:41" s="231" customFormat="1">
      <c r="B1331" s="3"/>
      <c r="C1331" s="3"/>
      <c r="D1331" s="3"/>
      <c r="F1331" s="248"/>
      <c r="G1331" s="248"/>
      <c r="H1331" s="248"/>
      <c r="I1331" s="248"/>
      <c r="J1331" s="248"/>
      <c r="K1331" s="248"/>
      <c r="L1331" s="248"/>
      <c r="M1331" s="248"/>
      <c r="N1331" s="248"/>
      <c r="O1331" s="248"/>
      <c r="P1331" s="248"/>
      <c r="Q1331" s="248"/>
      <c r="R1331" s="248"/>
      <c r="S1331" s="248"/>
      <c r="T1331" s="248"/>
      <c r="U1331" s="248"/>
      <c r="V1331" s="248"/>
      <c r="W1331" s="248"/>
      <c r="X1331" s="248"/>
      <c r="Y1331" s="248"/>
      <c r="Z1331" s="248"/>
      <c r="AA1331" s="248"/>
      <c r="AB1331" s="248"/>
      <c r="AC1331" s="248"/>
      <c r="AD1331" s="248"/>
      <c r="AE1331" s="248"/>
      <c r="AF1331" s="248"/>
      <c r="AG1331" s="248"/>
      <c r="AH1331" s="248"/>
      <c r="AI1331" s="248"/>
      <c r="AJ1331" s="248"/>
      <c r="AK1331" s="248"/>
      <c r="AL1331" s="248"/>
      <c r="AM1331" s="248"/>
    </row>
    <row r="1332" spans="1:41" s="231" customFormat="1" ht="14.1" customHeight="1">
      <c r="B1332" s="3"/>
      <c r="C1332" s="3"/>
      <c r="D1332" s="3"/>
      <c r="F1332" s="569" t="s">
        <v>1667</v>
      </c>
      <c r="G1332" s="569"/>
      <c r="H1332" s="569"/>
      <c r="I1332" s="569"/>
      <c r="J1332" s="569"/>
      <c r="K1332" s="569"/>
      <c r="L1332" s="569"/>
      <c r="M1332" s="569"/>
      <c r="N1332" s="569"/>
      <c r="O1332" s="569"/>
      <c r="P1332" s="569"/>
      <c r="Q1332" s="569"/>
      <c r="R1332" s="569"/>
      <c r="S1332" s="569"/>
      <c r="T1332" s="569"/>
      <c r="U1332" s="569"/>
      <c r="V1332" s="569"/>
      <c r="W1332" s="569"/>
      <c r="X1332" s="569"/>
      <c r="Y1332" s="569"/>
      <c r="Z1332" s="569"/>
      <c r="AA1332" s="569"/>
      <c r="AB1332" s="569"/>
      <c r="AC1332" s="569"/>
      <c r="AD1332" s="569"/>
      <c r="AE1332" s="569"/>
      <c r="AF1332" s="569"/>
      <c r="AG1332" s="569"/>
      <c r="AH1332" s="569"/>
      <c r="AI1332" s="569"/>
      <c r="AJ1332" s="569"/>
      <c r="AK1332" s="569"/>
      <c r="AL1332" s="569"/>
      <c r="AM1332" s="249"/>
    </row>
    <row r="1333" spans="1:41" s="231" customFormat="1" ht="17.25" customHeight="1">
      <c r="B1333" s="3"/>
      <c r="C1333" s="3"/>
      <c r="D1333" s="3"/>
      <c r="F1333" s="569"/>
      <c r="G1333" s="569"/>
      <c r="H1333" s="569"/>
      <c r="I1333" s="569"/>
      <c r="J1333" s="569"/>
      <c r="K1333" s="569"/>
      <c r="L1333" s="569"/>
      <c r="M1333" s="569"/>
      <c r="N1333" s="569"/>
      <c r="O1333" s="569"/>
      <c r="P1333" s="569"/>
      <c r="Q1333" s="569"/>
      <c r="R1333" s="569"/>
      <c r="S1333" s="569"/>
      <c r="T1333" s="569"/>
      <c r="U1333" s="569"/>
      <c r="V1333" s="569"/>
      <c r="W1333" s="569"/>
      <c r="X1333" s="569"/>
      <c r="Y1333" s="569"/>
      <c r="Z1333" s="569"/>
      <c r="AA1333" s="569"/>
      <c r="AB1333" s="569"/>
      <c r="AC1333" s="569"/>
      <c r="AD1333" s="569"/>
      <c r="AE1333" s="569"/>
      <c r="AF1333" s="569"/>
      <c r="AG1333" s="569"/>
      <c r="AH1333" s="569"/>
      <c r="AI1333" s="569"/>
      <c r="AJ1333" s="569"/>
      <c r="AK1333" s="569"/>
      <c r="AL1333" s="569"/>
      <c r="AM1333" s="245"/>
    </row>
    <row r="1334" spans="1:41" s="231" customFormat="1" ht="14.25" customHeight="1">
      <c r="B1334" s="3"/>
      <c r="C1334" s="3"/>
      <c r="D1334" s="3"/>
    </row>
    <row r="1335" spans="1:41" ht="12.75" hidden="1" customHeight="1">
      <c r="A1335" s="3"/>
      <c r="B1335" s="3"/>
      <c r="C1335" s="3"/>
      <c r="D1335" s="3"/>
      <c r="F1335" s="692" t="s">
        <v>389</v>
      </c>
      <c r="G1335" s="692"/>
      <c r="H1335" s="692"/>
      <c r="I1335" s="692"/>
      <c r="J1335" s="692"/>
      <c r="K1335" s="692"/>
      <c r="L1335" s="692"/>
      <c r="M1335" s="692"/>
      <c r="N1335" s="692"/>
      <c r="O1335" s="692"/>
      <c r="P1335" s="692"/>
      <c r="Q1335" s="692"/>
      <c r="R1335" s="692"/>
      <c r="S1335" s="692"/>
      <c r="T1335" s="692"/>
      <c r="U1335" s="692"/>
      <c r="V1335" s="692"/>
      <c r="W1335" s="692"/>
      <c r="X1335" s="692"/>
      <c r="Y1335" s="692"/>
      <c r="Z1335" s="692"/>
      <c r="AA1335" s="692"/>
      <c r="AB1335" s="692"/>
      <c r="AC1335" s="692"/>
      <c r="AD1335" s="692"/>
      <c r="AE1335" s="692"/>
      <c r="AF1335" s="692"/>
      <c r="AG1335" s="692"/>
      <c r="AH1335" s="692"/>
      <c r="AI1335" s="692"/>
      <c r="AJ1335" s="692"/>
      <c r="AK1335" s="692"/>
      <c r="AL1335" s="692"/>
      <c r="AM1335" s="692"/>
    </row>
    <row r="1336" spans="1:41" hidden="1">
      <c r="A1336" s="3"/>
      <c r="B1336" s="3"/>
      <c r="C1336" s="3"/>
      <c r="D1336" s="3"/>
      <c r="F1336" s="692"/>
      <c r="G1336" s="692"/>
      <c r="H1336" s="692"/>
      <c r="I1336" s="692"/>
      <c r="J1336" s="692"/>
      <c r="K1336" s="692"/>
      <c r="L1336" s="692"/>
      <c r="M1336" s="692"/>
      <c r="N1336" s="692"/>
      <c r="O1336" s="692"/>
      <c r="P1336" s="692"/>
      <c r="Q1336" s="692"/>
      <c r="R1336" s="692"/>
      <c r="S1336" s="692"/>
      <c r="T1336" s="692"/>
      <c r="U1336" s="692"/>
      <c r="V1336" s="692"/>
      <c r="W1336" s="692"/>
      <c r="X1336" s="692"/>
      <c r="Y1336" s="692"/>
      <c r="Z1336" s="692"/>
      <c r="AA1336" s="692"/>
      <c r="AB1336" s="692"/>
      <c r="AC1336" s="692"/>
      <c r="AD1336" s="692"/>
      <c r="AE1336" s="692"/>
      <c r="AF1336" s="692"/>
      <c r="AG1336" s="692"/>
      <c r="AH1336" s="692"/>
      <c r="AI1336" s="692"/>
      <c r="AJ1336" s="692"/>
      <c r="AK1336" s="692"/>
      <c r="AL1336" s="692"/>
      <c r="AM1336" s="692"/>
    </row>
    <row r="1337" spans="1:41" ht="7.5" hidden="1" customHeight="1">
      <c r="A1337" s="3"/>
      <c r="B1337" s="3"/>
      <c r="C1337" s="3"/>
      <c r="D1337" s="3"/>
      <c r="AE1337" s="73"/>
      <c r="AF1337" s="73"/>
      <c r="AG1337" s="73"/>
      <c r="AH1337" s="73"/>
      <c r="AI1337" s="73"/>
      <c r="AJ1337" s="73"/>
      <c r="AK1337" s="73"/>
      <c r="AL1337" s="73"/>
      <c r="AM1337" s="73"/>
    </row>
    <row r="1338" spans="1:41" ht="12.75" hidden="1" customHeight="1">
      <c r="A1338" s="3"/>
      <c r="B1338" s="3"/>
      <c r="C1338" s="3"/>
      <c r="D1338" s="3"/>
      <c r="F1338" s="596" t="s">
        <v>390</v>
      </c>
      <c r="G1338" s="703"/>
      <c r="H1338" s="703"/>
      <c r="I1338" s="703"/>
      <c r="J1338" s="703"/>
      <c r="K1338" s="703"/>
      <c r="L1338" s="703"/>
      <c r="M1338" s="596" t="s">
        <v>391</v>
      </c>
      <c r="N1338" s="596"/>
      <c r="O1338" s="596"/>
      <c r="P1338" s="596"/>
      <c r="Q1338" s="596"/>
      <c r="R1338" s="596" t="s">
        <v>164</v>
      </c>
      <c r="S1338" s="596"/>
      <c r="T1338" s="596"/>
      <c r="U1338" s="596"/>
      <c r="V1338" s="596" t="s">
        <v>392</v>
      </c>
      <c r="W1338" s="596"/>
      <c r="X1338" s="596"/>
      <c r="Y1338" s="596"/>
      <c r="Z1338" s="596"/>
      <c r="AA1338" s="596" t="s">
        <v>393</v>
      </c>
      <c r="AB1338" s="693"/>
      <c r="AC1338" s="693"/>
      <c r="AD1338" s="693"/>
      <c r="AE1338" s="693"/>
      <c r="AF1338" s="596" t="s">
        <v>394</v>
      </c>
      <c r="AG1338" s="596"/>
      <c r="AH1338" s="596"/>
      <c r="AI1338" s="596"/>
      <c r="AJ1338" s="596"/>
      <c r="AK1338" s="596" t="s">
        <v>395</v>
      </c>
      <c r="AL1338" s="596"/>
      <c r="AM1338" s="596"/>
    </row>
    <row r="1339" spans="1:41" hidden="1">
      <c r="A1339" s="3"/>
      <c r="B1339" s="3"/>
      <c r="C1339" s="3"/>
      <c r="D1339" s="3"/>
      <c r="F1339" s="704"/>
      <c r="G1339" s="704"/>
      <c r="H1339" s="704"/>
      <c r="I1339" s="704"/>
      <c r="J1339" s="704"/>
      <c r="K1339" s="704"/>
      <c r="L1339" s="704"/>
      <c r="M1339" s="597"/>
      <c r="N1339" s="597"/>
      <c r="O1339" s="597"/>
      <c r="P1339" s="597"/>
      <c r="Q1339" s="597"/>
      <c r="R1339" s="597"/>
      <c r="S1339" s="597"/>
      <c r="T1339" s="597"/>
      <c r="U1339" s="597"/>
      <c r="V1339" s="597"/>
      <c r="W1339" s="597"/>
      <c r="X1339" s="597"/>
      <c r="Y1339" s="597"/>
      <c r="Z1339" s="597"/>
      <c r="AA1339" s="694"/>
      <c r="AB1339" s="694"/>
      <c r="AC1339" s="694"/>
      <c r="AD1339" s="694"/>
      <c r="AE1339" s="694"/>
      <c r="AF1339" s="597"/>
      <c r="AG1339" s="597"/>
      <c r="AH1339" s="597"/>
      <c r="AI1339" s="597"/>
      <c r="AJ1339" s="597"/>
      <c r="AK1339" s="597"/>
      <c r="AL1339" s="597"/>
      <c r="AM1339" s="597"/>
    </row>
    <row r="1340" spans="1:41" ht="12.75" hidden="1" customHeight="1">
      <c r="A1340" s="3"/>
      <c r="B1340" s="3"/>
      <c r="C1340" s="3"/>
      <c r="D1340" s="3"/>
      <c r="F1340" s="640" t="s">
        <v>396</v>
      </c>
      <c r="G1340" s="693"/>
      <c r="H1340" s="693"/>
      <c r="I1340" s="693"/>
      <c r="J1340" s="693"/>
      <c r="K1340" s="693"/>
      <c r="L1340" s="693"/>
      <c r="M1340" s="640" t="s">
        <v>397</v>
      </c>
      <c r="N1340" s="640"/>
      <c r="O1340" s="640"/>
      <c r="P1340" s="640"/>
      <c r="Q1340" s="640"/>
      <c r="R1340" s="712" t="s">
        <v>398</v>
      </c>
      <c r="S1340" s="712"/>
      <c r="T1340" s="712"/>
      <c r="U1340" s="712"/>
      <c r="V1340" s="712">
        <v>41639</v>
      </c>
      <c r="W1340" s="712"/>
      <c r="X1340" s="712"/>
      <c r="Y1340" s="712"/>
      <c r="Z1340" s="712"/>
      <c r="AA1340" s="707">
        <v>0.01</v>
      </c>
      <c r="AB1340" s="708"/>
      <c r="AC1340" s="708"/>
      <c r="AD1340" s="708"/>
      <c r="AE1340" s="708"/>
      <c r="AF1340" s="709">
        <f>1404+552+56</f>
        <v>2012</v>
      </c>
      <c r="AG1340" s="709"/>
      <c r="AH1340" s="709"/>
      <c r="AI1340" s="709"/>
      <c r="AJ1340" s="709"/>
      <c r="AK1340" s="709">
        <v>-552</v>
      </c>
      <c r="AL1340" s="709"/>
      <c r="AM1340" s="709"/>
    </row>
    <row r="1341" spans="1:41" hidden="1">
      <c r="A1341" s="3"/>
      <c r="B1341" s="3"/>
      <c r="C1341" s="3"/>
      <c r="D1341" s="3"/>
      <c r="F1341" s="693"/>
      <c r="G1341" s="693"/>
      <c r="H1341" s="693"/>
      <c r="I1341" s="693"/>
      <c r="J1341" s="693"/>
      <c r="K1341" s="693"/>
      <c r="L1341" s="693"/>
      <c r="M1341" s="640"/>
      <c r="N1341" s="640"/>
      <c r="O1341" s="640"/>
      <c r="P1341" s="640"/>
      <c r="Q1341" s="640"/>
      <c r="R1341" s="706"/>
      <c r="S1341" s="706"/>
      <c r="T1341" s="706"/>
      <c r="U1341" s="706"/>
      <c r="V1341" s="706"/>
      <c r="W1341" s="706"/>
      <c r="X1341" s="706"/>
      <c r="Y1341" s="706"/>
      <c r="Z1341" s="706"/>
      <c r="AA1341" s="708"/>
      <c r="AB1341" s="708"/>
      <c r="AC1341" s="708"/>
      <c r="AD1341" s="708"/>
      <c r="AE1341" s="708"/>
      <c r="AF1341" s="705"/>
      <c r="AG1341" s="705"/>
      <c r="AH1341" s="705"/>
      <c r="AI1341" s="705"/>
      <c r="AJ1341" s="705"/>
      <c r="AK1341" s="705"/>
      <c r="AL1341" s="705"/>
      <c r="AM1341" s="705"/>
      <c r="AO1341" s="19"/>
    </row>
    <row r="1342" spans="1:41" ht="12.75" hidden="1" customHeight="1">
      <c r="A1342" s="3"/>
      <c r="B1342" s="3"/>
      <c r="C1342" s="3"/>
      <c r="D1342" s="3"/>
      <c r="F1342" s="640" t="s">
        <v>399</v>
      </c>
      <c r="G1342" s="693"/>
      <c r="H1342" s="693"/>
      <c r="I1342" s="693"/>
      <c r="J1342" s="693"/>
      <c r="K1342" s="693"/>
      <c r="L1342" s="693"/>
      <c r="M1342" s="640" t="s">
        <v>397</v>
      </c>
      <c r="N1342" s="640"/>
      <c r="O1342" s="640"/>
      <c r="P1342" s="640"/>
      <c r="Q1342" s="640"/>
      <c r="R1342" s="640" t="s">
        <v>400</v>
      </c>
      <c r="S1342" s="640"/>
      <c r="T1342" s="640"/>
      <c r="U1342" s="640"/>
      <c r="V1342" s="706">
        <v>41088</v>
      </c>
      <c r="W1342" s="706"/>
      <c r="X1342" s="706"/>
      <c r="Y1342" s="706"/>
      <c r="Z1342" s="706"/>
      <c r="AA1342" s="707">
        <v>0.11</v>
      </c>
      <c r="AB1342" s="708"/>
      <c r="AC1342" s="708"/>
      <c r="AD1342" s="708"/>
      <c r="AE1342" s="708"/>
      <c r="AF1342" s="705">
        <v>126</v>
      </c>
      <c r="AG1342" s="705"/>
      <c r="AH1342" s="705"/>
      <c r="AI1342" s="705"/>
      <c r="AJ1342" s="705"/>
      <c r="AK1342" s="705">
        <v>-36</v>
      </c>
      <c r="AL1342" s="705"/>
      <c r="AM1342" s="705"/>
    </row>
    <row r="1343" spans="1:41" hidden="1">
      <c r="A1343" s="3"/>
      <c r="B1343" s="3"/>
      <c r="C1343" s="3"/>
      <c r="D1343" s="3"/>
      <c r="F1343" s="693"/>
      <c r="G1343" s="693"/>
      <c r="H1343" s="693"/>
      <c r="I1343" s="693"/>
      <c r="J1343" s="693"/>
      <c r="K1343" s="693"/>
      <c r="L1343" s="693"/>
      <c r="M1343" s="640"/>
      <c r="N1343" s="640"/>
      <c r="O1343" s="640"/>
      <c r="P1343" s="640"/>
      <c r="Q1343" s="640"/>
      <c r="R1343" s="640"/>
      <c r="S1343" s="640"/>
      <c r="T1343" s="640"/>
      <c r="U1343" s="640"/>
      <c r="V1343" s="706"/>
      <c r="W1343" s="706"/>
      <c r="X1343" s="706"/>
      <c r="Y1343" s="706"/>
      <c r="Z1343" s="706"/>
      <c r="AA1343" s="708"/>
      <c r="AB1343" s="708"/>
      <c r="AC1343" s="708"/>
      <c r="AD1343" s="708"/>
      <c r="AE1343" s="708"/>
      <c r="AF1343" s="705"/>
      <c r="AG1343" s="705"/>
      <c r="AH1343" s="705"/>
      <c r="AI1343" s="705"/>
      <c r="AJ1343" s="705"/>
      <c r="AK1343" s="705"/>
      <c r="AL1343" s="705"/>
      <c r="AM1343" s="705"/>
    </row>
    <row r="1344" spans="1:41" ht="13.5" hidden="1" thickBot="1">
      <c r="A1344" s="3"/>
      <c r="B1344" s="3"/>
      <c r="C1344" s="3"/>
      <c r="D1344" s="3"/>
      <c r="F1344" s="39"/>
      <c r="G1344" s="39"/>
      <c r="H1344" s="39"/>
      <c r="I1344" s="39"/>
      <c r="J1344" s="39"/>
      <c r="K1344" s="39"/>
      <c r="L1344" s="39"/>
      <c r="M1344" s="39"/>
      <c r="N1344" s="39"/>
      <c r="O1344" s="74"/>
      <c r="P1344" s="74"/>
      <c r="Q1344" s="74"/>
      <c r="R1344" s="74"/>
      <c r="S1344" s="74"/>
      <c r="T1344" s="74"/>
      <c r="U1344" s="74"/>
      <c r="V1344" s="74"/>
      <c r="W1344" s="74"/>
      <c r="X1344" s="74"/>
      <c r="Y1344" s="75"/>
      <c r="Z1344" s="75"/>
      <c r="AA1344" s="75"/>
      <c r="AB1344" s="75"/>
      <c r="AC1344" s="75"/>
      <c r="AD1344" s="75"/>
      <c r="AE1344" s="76"/>
      <c r="AF1344" s="711">
        <f>SUM(AF1340:AJ1343)</f>
        <v>2138</v>
      </c>
      <c r="AG1344" s="711"/>
      <c r="AH1344" s="711"/>
      <c r="AI1344" s="711"/>
      <c r="AJ1344" s="711"/>
      <c r="AK1344" s="711">
        <f>SUM(AK1340:AM1343)</f>
        <v>-588</v>
      </c>
      <c r="AL1344" s="711"/>
      <c r="AM1344" s="711"/>
      <c r="AN1344" s="19"/>
    </row>
    <row r="1345" spans="1:48" hidden="1">
      <c r="A1345" s="3"/>
      <c r="B1345" s="3"/>
      <c r="C1345" s="3"/>
      <c r="D1345" s="3"/>
      <c r="F1345" s="18"/>
      <c r="G1345" s="18"/>
      <c r="H1345" s="18"/>
      <c r="I1345" s="18"/>
      <c r="J1345" s="18"/>
      <c r="K1345" s="18"/>
      <c r="L1345" s="18"/>
      <c r="M1345" s="18"/>
      <c r="N1345" s="18"/>
      <c r="O1345" s="18"/>
      <c r="P1345" s="18"/>
      <c r="Q1345" s="18"/>
      <c r="R1345" s="18"/>
      <c r="S1345" s="18"/>
      <c r="T1345" s="18"/>
      <c r="U1345" s="18"/>
      <c r="V1345" s="18"/>
      <c r="W1345" s="18"/>
      <c r="X1345" s="18"/>
      <c r="Y1345" s="18"/>
      <c r="Z1345" s="18"/>
      <c r="AA1345" s="18"/>
      <c r="AB1345" s="18"/>
      <c r="AC1345" s="18"/>
      <c r="AD1345" s="18"/>
      <c r="AE1345" s="73"/>
      <c r="AF1345" s="73"/>
      <c r="AG1345" s="73"/>
      <c r="AH1345" s="73"/>
      <c r="AI1345" s="73"/>
      <c r="AJ1345" s="73"/>
      <c r="AK1345" s="73"/>
      <c r="AL1345" s="73"/>
      <c r="AM1345" s="73"/>
      <c r="AN1345" s="19"/>
    </row>
    <row r="1346" spans="1:48" hidden="1">
      <c r="A1346" s="3"/>
      <c r="B1346" s="3"/>
      <c r="C1346" s="3"/>
      <c r="D1346" s="3"/>
      <c r="F1346" s="692" t="s">
        <v>401</v>
      </c>
      <c r="G1346" s="692"/>
      <c r="H1346" s="692"/>
      <c r="I1346" s="692"/>
      <c r="J1346" s="692"/>
      <c r="K1346" s="692"/>
      <c r="L1346" s="692"/>
      <c r="M1346" s="692"/>
      <c r="N1346" s="692"/>
      <c r="O1346" s="692"/>
      <c r="P1346" s="692"/>
      <c r="Q1346" s="692"/>
      <c r="R1346" s="692"/>
      <c r="S1346" s="692"/>
      <c r="T1346" s="692"/>
      <c r="U1346" s="692"/>
      <c r="V1346" s="692"/>
      <c r="W1346" s="692"/>
      <c r="X1346" s="692"/>
      <c r="Y1346" s="692"/>
      <c r="Z1346" s="692"/>
      <c r="AA1346" s="692"/>
      <c r="AB1346" s="692"/>
      <c r="AC1346" s="692"/>
      <c r="AD1346" s="692"/>
      <c r="AE1346" s="692"/>
      <c r="AF1346" s="692"/>
      <c r="AG1346" s="692"/>
      <c r="AH1346" s="692"/>
      <c r="AI1346" s="692"/>
      <c r="AJ1346" s="692"/>
      <c r="AK1346" s="692"/>
      <c r="AL1346" s="692"/>
      <c r="AM1346" s="692"/>
    </row>
    <row r="1347" spans="1:48" hidden="1">
      <c r="A1347" s="3"/>
      <c r="B1347" s="3"/>
      <c r="C1347" s="3"/>
      <c r="D1347" s="3"/>
      <c r="F1347" s="710"/>
      <c r="G1347" s="710"/>
      <c r="H1347" s="710"/>
      <c r="I1347" s="710"/>
      <c r="J1347" s="710"/>
      <c r="K1347" s="710"/>
      <c r="L1347" s="710"/>
      <c r="M1347" s="710"/>
      <c r="N1347" s="710"/>
      <c r="O1347" s="710"/>
      <c r="P1347" s="710"/>
      <c r="Q1347" s="710"/>
      <c r="R1347" s="710"/>
      <c r="S1347" s="710"/>
      <c r="T1347" s="710"/>
      <c r="U1347" s="710"/>
      <c r="V1347" s="710"/>
      <c r="W1347" s="710"/>
      <c r="X1347" s="710"/>
      <c r="Y1347" s="710"/>
      <c r="Z1347" s="710"/>
      <c r="AA1347" s="710"/>
      <c r="AB1347" s="710"/>
      <c r="AC1347" s="710"/>
      <c r="AD1347" s="710"/>
      <c r="AE1347" s="710"/>
      <c r="AF1347" s="710"/>
      <c r="AG1347" s="710"/>
      <c r="AH1347" s="710"/>
      <c r="AI1347" s="710"/>
      <c r="AJ1347" s="710"/>
      <c r="AK1347" s="710"/>
      <c r="AL1347" s="710"/>
      <c r="AM1347" s="710"/>
    </row>
    <row r="1348" spans="1:48" hidden="1">
      <c r="A1348" s="3"/>
      <c r="B1348" s="3"/>
      <c r="C1348" s="3"/>
      <c r="D1348" s="3"/>
      <c r="F1348" s="669" t="e">
        <f>(MID(#REF!,1,2)+1)&amp;"."</f>
        <v>#REF!</v>
      </c>
      <c r="G1348" s="669"/>
      <c r="H1348" s="583" t="s">
        <v>402</v>
      </c>
      <c r="I1348" s="583"/>
      <c r="J1348" s="583"/>
      <c r="K1348" s="583"/>
      <c r="L1348" s="583"/>
      <c r="M1348" s="583"/>
      <c r="N1348" s="583"/>
      <c r="O1348" s="583"/>
      <c r="P1348" s="583"/>
      <c r="Q1348" s="583"/>
      <c r="R1348" s="583"/>
      <c r="S1348" s="583"/>
      <c r="T1348" s="583"/>
      <c r="U1348" s="583"/>
      <c r="V1348" s="583"/>
      <c r="W1348" s="583"/>
      <c r="X1348" s="583"/>
      <c r="Y1348" s="583"/>
      <c r="Z1348" s="583"/>
      <c r="AA1348" s="583"/>
      <c r="AB1348" s="583"/>
      <c r="AC1348" s="583"/>
      <c r="AD1348" s="583"/>
      <c r="AE1348" s="583"/>
      <c r="AF1348" s="583"/>
      <c r="AG1348" s="583"/>
      <c r="AH1348" s="583"/>
      <c r="AI1348" s="583"/>
      <c r="AJ1348" s="583"/>
      <c r="AK1348" s="583"/>
      <c r="AL1348" s="583"/>
      <c r="AM1348" s="583"/>
    </row>
    <row r="1349" spans="1:48" hidden="1"/>
    <row r="1350" spans="1:48" ht="12.75" hidden="1" customHeight="1">
      <c r="A1350" s="3"/>
      <c r="B1350" s="3"/>
      <c r="C1350" s="3"/>
      <c r="D1350" s="3"/>
      <c r="F1350" s="692" t="s">
        <v>403</v>
      </c>
      <c r="G1350" s="692"/>
      <c r="H1350" s="692"/>
      <c r="I1350" s="692"/>
      <c r="J1350" s="692"/>
      <c r="K1350" s="692"/>
      <c r="L1350" s="692"/>
      <c r="M1350" s="692"/>
      <c r="N1350" s="692"/>
      <c r="O1350" s="692"/>
      <c r="P1350" s="692"/>
      <c r="Q1350" s="692"/>
      <c r="R1350" s="692"/>
      <c r="S1350" s="692"/>
      <c r="T1350" s="692"/>
      <c r="U1350" s="692"/>
      <c r="V1350" s="692"/>
      <c r="W1350" s="692"/>
      <c r="X1350" s="692"/>
      <c r="Y1350" s="692"/>
      <c r="Z1350" s="692"/>
      <c r="AA1350" s="692"/>
      <c r="AB1350" s="692"/>
      <c r="AC1350" s="692"/>
      <c r="AD1350" s="692"/>
      <c r="AE1350" s="692"/>
      <c r="AF1350" s="692"/>
      <c r="AG1350" s="692"/>
      <c r="AH1350" s="692"/>
      <c r="AI1350" s="692"/>
      <c r="AJ1350" s="692"/>
      <c r="AK1350" s="692"/>
      <c r="AL1350" s="692"/>
      <c r="AM1350" s="692"/>
    </row>
    <row r="1351" spans="1:48" hidden="1">
      <c r="A1351" s="3"/>
      <c r="B1351" s="3"/>
      <c r="C1351" s="3"/>
      <c r="D1351" s="3"/>
      <c r="F1351" s="692"/>
      <c r="G1351" s="692"/>
      <c r="H1351" s="692"/>
      <c r="I1351" s="692"/>
      <c r="J1351" s="692"/>
      <c r="K1351" s="692"/>
      <c r="L1351" s="692"/>
      <c r="M1351" s="692"/>
      <c r="N1351" s="692"/>
      <c r="O1351" s="692"/>
      <c r="P1351" s="692"/>
      <c r="Q1351" s="692"/>
      <c r="R1351" s="692"/>
      <c r="S1351" s="692"/>
      <c r="T1351" s="692"/>
      <c r="U1351" s="692"/>
      <c r="V1351" s="692"/>
      <c r="W1351" s="692"/>
      <c r="X1351" s="692"/>
      <c r="Y1351" s="692"/>
      <c r="Z1351" s="692"/>
      <c r="AA1351" s="692"/>
      <c r="AB1351" s="692"/>
      <c r="AC1351" s="692"/>
      <c r="AD1351" s="692"/>
      <c r="AE1351" s="692"/>
      <c r="AF1351" s="692"/>
      <c r="AG1351" s="692"/>
      <c r="AH1351" s="692"/>
      <c r="AI1351" s="692"/>
      <c r="AJ1351" s="692"/>
      <c r="AK1351" s="692"/>
      <c r="AL1351" s="692"/>
      <c r="AM1351" s="692"/>
    </row>
    <row r="1352" spans="1:48" ht="12.75" hidden="1" customHeight="1">
      <c r="A1352" s="3"/>
      <c r="B1352" s="3"/>
      <c r="C1352" s="3"/>
      <c r="D1352" s="3"/>
    </row>
    <row r="1353" spans="1:48" ht="12.75" hidden="1" customHeight="1">
      <c r="A1353" s="3"/>
      <c r="B1353" s="3"/>
      <c r="C1353" s="3"/>
      <c r="D1353" s="3"/>
      <c r="AA1353" s="596" t="str">
        <f>AA211</f>
        <v>31 грудня 2020  року</v>
      </c>
      <c r="AB1353" s="596"/>
      <c r="AC1353" s="596"/>
      <c r="AD1353" s="596"/>
      <c r="AE1353" s="596"/>
      <c r="AG1353" s="596" t="str">
        <f>AG211</f>
        <v>31 грудня 2019 року</v>
      </c>
      <c r="AH1353" s="596"/>
      <c r="AI1353" s="596"/>
      <c r="AJ1353" s="596"/>
      <c r="AK1353" s="596"/>
      <c r="AM1353" s="596">
        <f>AM211</f>
        <v>0</v>
      </c>
    </row>
    <row r="1354" spans="1:48" ht="12.75" hidden="1" customHeight="1">
      <c r="A1354" s="3"/>
      <c r="B1354" s="3"/>
      <c r="C1354" s="3"/>
      <c r="D1354" s="3"/>
      <c r="AA1354" s="596"/>
      <c r="AB1354" s="596"/>
      <c r="AC1354" s="596"/>
      <c r="AD1354" s="596"/>
      <c r="AE1354" s="596"/>
      <c r="AG1354" s="596"/>
      <c r="AH1354" s="596"/>
      <c r="AI1354" s="596"/>
      <c r="AJ1354" s="596"/>
      <c r="AK1354" s="596"/>
      <c r="AM1354" s="597"/>
    </row>
    <row r="1355" spans="1:48" hidden="1">
      <c r="A1355" s="3"/>
      <c r="B1355" s="3"/>
      <c r="C1355" s="3"/>
      <c r="D1355" s="3"/>
      <c r="F1355" s="568" t="s">
        <v>77</v>
      </c>
      <c r="G1355" s="568"/>
      <c r="H1355" s="568"/>
      <c r="I1355" s="568"/>
      <c r="J1355" s="568"/>
      <c r="K1355" s="568"/>
      <c r="L1355" s="568"/>
      <c r="M1355" s="568"/>
      <c r="N1355" s="568"/>
      <c r="O1355" s="568"/>
      <c r="P1355" s="568"/>
      <c r="Q1355" s="568"/>
      <c r="R1355" s="568"/>
      <c r="S1355" s="568"/>
      <c r="T1355" s="568"/>
      <c r="U1355" s="568"/>
      <c r="V1355" s="568"/>
      <c r="W1355" s="568"/>
      <c r="X1355" s="568"/>
      <c r="Y1355" s="568"/>
      <c r="AA1355" s="717" t="e">
        <f>-(SUMIFS(#REF!,#REF!,'FS USD (ua)'!AQ1355)+SUMIFS(#REF!,#REF!,'FS USD (ua)'!AR1355)+SUMIFS(#REF!,#REF!,'FS USD (ua)'!AS1355)+SUMIFS(#REF!,#REF!,'FS USD (ua)'!AT1355)+SUMIFS(#REF!,#REF!,'FS USD (ua)'!AU1355)+SUMIFS(#REF!,#REF!,'FS USD (ua)'!AV1355)+SUMIFS(#REF!,#REF!,'FS USD (ua)'!AW1355)+SUMIFS(#REF!,#REF!,'FS USD (ua)'!AX1355)+SUMIFS(#REF!,#REF!,'FS USD (ua)'!AY1355)+SUMIFS(#REF!,#REF!,'FS USD (ua)'!AZ1355)+SUMIFS(#REF!,#REF!,'FS USD (ua)'!BA1355)+SUMIFS(#REF!,#REF!,'FS USD (ua)'!BB1355)+SUMIFS(#REF!,#REF!,'FS USD (ua)'!BC1355))/1000</f>
        <v>#REF!</v>
      </c>
      <c r="AB1355" s="717"/>
      <c r="AC1355" s="717"/>
      <c r="AD1355" s="717"/>
      <c r="AE1355" s="717"/>
      <c r="AG1355" s="717" t="e">
        <f>-(SUMIFS(#REF!,#REF!,'FS USD (ua)'!AQ1355)+SUMIFS(#REF!,#REF!,'FS USD (ua)'!AR1355)+SUMIFS(#REF!,#REF!,'FS USD (ua)'!AS1355)+SUMIFS(#REF!,#REF!,'FS USD (ua)'!AT1355)+SUMIFS(#REF!,#REF!,'FS USD (ua)'!AU1355)+SUMIFS(#REF!,#REF!,'FS USD (ua)'!AV1355)+SUMIFS(#REF!,#REF!,'FS USD (ua)'!AW1355)+SUMIFS(#REF!,#REF!,'FS USD (ua)'!AX1355)+SUMIFS(#REF!,#REF!,'FS USD (ua)'!AY1355)+SUMIFS(#REF!,#REF!,'FS USD (ua)'!AZ1355)+SUMIFS(#REF!,#REF!,'FS USD (ua)'!BA1355)+SUMIFS(#REF!,#REF!,'FS USD (ua)'!BB1355)+SUMIFS(#REF!,#REF!,'FS USD (ua)'!BC1355))/1000</f>
        <v>#REF!</v>
      </c>
      <c r="AH1355" s="717"/>
      <c r="AI1355" s="717"/>
      <c r="AJ1355" s="717"/>
      <c r="AK1355" s="717"/>
      <c r="AL1355" s="19"/>
      <c r="AM1355" s="232" t="e">
        <f>-(SUMIFS(#REF!,#REF!,'FS USD (ua)'!AQ1355)+SUMIFS(#REF!,#REF!,'FS USD (ua)'!AR1355)+SUMIFS(#REF!,#REF!,'FS USD (ua)'!AS1355)+SUMIFS(#REF!,#REF!,'FS USD (ua)'!AT1355)+SUMIFS(#REF!,#REF!,'FS USD (ua)'!AU1355)+SUMIFS(#REF!,#REF!,'FS USD (ua)'!AV1355)+SUMIFS(#REF!,#REF!,'FS USD (ua)'!AW1355)+SUMIFS(#REF!,#REF!,'FS USD (ua)'!AX1355)+SUMIFS(#REF!,#REF!,'FS USD (ua)'!AY1355)+SUMIFS(#REF!,#REF!,'FS USD (ua)'!AZ1355)+SUMIFS(#REF!,#REF!,'FS USD (ua)'!BA1355)+SUMIFS(#REF!,#REF!,'FS USD (ua)'!BB1355)+SUMIFS(#REF!,#REF!,'FS USD (ua)'!BC1355))/1000</f>
        <v>#REF!</v>
      </c>
      <c r="AT1355" s="3" t="s">
        <v>78</v>
      </c>
      <c r="AU1355" s="3" t="s">
        <v>404</v>
      </c>
      <c r="AV1355" s="3" t="s">
        <v>79</v>
      </c>
    </row>
    <row r="1356" spans="1:48" ht="13.5" hidden="1" thickBot="1">
      <c r="A1356" s="3"/>
      <c r="B1356" s="3"/>
      <c r="C1356" s="3"/>
      <c r="D1356" s="3"/>
      <c r="AA1356" s="677">
        <f>SUBTOTAL(9,AA1355:AE1355)</f>
        <v>0</v>
      </c>
      <c r="AB1356" s="677"/>
      <c r="AC1356" s="677"/>
      <c r="AD1356" s="677"/>
      <c r="AE1356" s="677"/>
      <c r="AG1356" s="677">
        <f>SUBTOTAL(9,AG1355:AK1355)</f>
        <v>0</v>
      </c>
      <c r="AH1356" s="677"/>
      <c r="AI1356" s="677"/>
      <c r="AJ1356" s="677"/>
      <c r="AK1356" s="677"/>
      <c r="AL1356" s="19"/>
      <c r="AM1356" s="233">
        <f>SUBTOTAL(9,AM1355:AM1355)</f>
        <v>0</v>
      </c>
    </row>
    <row r="1357" spans="1:48" hidden="1">
      <c r="A1357" s="3"/>
      <c r="B1357" s="3"/>
      <c r="C1357" s="3"/>
      <c r="D1357" s="3"/>
      <c r="AE1357" s="77"/>
      <c r="AF1357" s="77"/>
      <c r="AG1357" s="77"/>
      <c r="AH1357" s="77"/>
      <c r="AI1357" s="77"/>
      <c r="AJ1357" s="77"/>
    </row>
    <row r="1358" spans="1:48" ht="12.75" hidden="1" customHeight="1">
      <c r="A1358" s="3"/>
      <c r="B1358" s="3"/>
      <c r="C1358" s="3"/>
      <c r="D1358" s="3"/>
      <c r="F1358" s="692" t="s">
        <v>405</v>
      </c>
      <c r="G1358" s="692"/>
      <c r="H1358" s="692"/>
      <c r="I1358" s="692"/>
      <c r="J1358" s="692"/>
      <c r="K1358" s="692"/>
      <c r="L1358" s="692"/>
      <c r="M1358" s="692"/>
      <c r="N1358" s="692"/>
      <c r="O1358" s="692"/>
      <c r="P1358" s="692"/>
      <c r="Q1358" s="692"/>
      <c r="R1358" s="692"/>
      <c r="S1358" s="692"/>
      <c r="T1358" s="692"/>
      <c r="U1358" s="692"/>
      <c r="V1358" s="692"/>
      <c r="W1358" s="692"/>
      <c r="X1358" s="692"/>
      <c r="Y1358" s="692"/>
      <c r="Z1358" s="692"/>
      <c r="AA1358" s="692"/>
      <c r="AB1358" s="692"/>
      <c r="AC1358" s="692"/>
      <c r="AD1358" s="692"/>
      <c r="AE1358" s="692"/>
      <c r="AF1358" s="692"/>
      <c r="AG1358" s="692"/>
      <c r="AH1358" s="692"/>
      <c r="AI1358" s="692"/>
      <c r="AJ1358" s="692"/>
      <c r="AK1358" s="692"/>
      <c r="AL1358" s="692"/>
      <c r="AM1358" s="692"/>
    </row>
    <row r="1359" spans="1:48" hidden="1">
      <c r="A1359" s="3"/>
      <c r="B1359" s="3"/>
      <c r="C1359" s="3"/>
      <c r="D1359" s="3"/>
      <c r="F1359" s="692"/>
      <c r="G1359" s="692"/>
      <c r="H1359" s="692"/>
      <c r="I1359" s="692"/>
      <c r="J1359" s="692"/>
      <c r="K1359" s="692"/>
      <c r="L1359" s="692"/>
      <c r="M1359" s="692"/>
      <c r="N1359" s="692"/>
      <c r="O1359" s="692"/>
      <c r="P1359" s="692"/>
      <c r="Q1359" s="692"/>
      <c r="R1359" s="692"/>
      <c r="S1359" s="692"/>
      <c r="T1359" s="692"/>
      <c r="U1359" s="692"/>
      <c r="V1359" s="692"/>
      <c r="W1359" s="692"/>
      <c r="X1359" s="692"/>
      <c r="Y1359" s="692"/>
      <c r="Z1359" s="692"/>
      <c r="AA1359" s="692"/>
      <c r="AB1359" s="692"/>
      <c r="AC1359" s="692"/>
      <c r="AD1359" s="692"/>
      <c r="AE1359" s="692"/>
      <c r="AF1359" s="692"/>
      <c r="AG1359" s="692"/>
      <c r="AH1359" s="692"/>
      <c r="AI1359" s="692"/>
      <c r="AJ1359" s="692"/>
      <c r="AK1359" s="692"/>
      <c r="AL1359" s="692"/>
      <c r="AM1359" s="692"/>
    </row>
    <row r="1360" spans="1:48" hidden="1">
      <c r="A1360" s="3"/>
      <c r="B1360" s="3"/>
      <c r="C1360" s="3"/>
      <c r="D1360" s="3"/>
      <c r="AE1360" s="77"/>
      <c r="AF1360" s="77"/>
      <c r="AG1360" s="77"/>
      <c r="AH1360" s="77"/>
      <c r="AI1360" s="77"/>
      <c r="AJ1360" s="77"/>
    </row>
    <row r="1361" spans="1:39" ht="12.75" hidden="1" customHeight="1">
      <c r="A1361" s="3"/>
      <c r="B1361" s="3"/>
      <c r="C1361" s="3"/>
      <c r="D1361" s="3"/>
      <c r="F1361" s="596" t="s">
        <v>390</v>
      </c>
      <c r="G1361" s="596"/>
      <c r="H1361" s="596"/>
      <c r="I1361" s="596"/>
      <c r="J1361" s="596"/>
      <c r="K1361" s="596"/>
      <c r="L1361" s="596"/>
      <c r="M1361" s="596"/>
      <c r="N1361" s="596" t="s">
        <v>391</v>
      </c>
      <c r="O1361" s="596"/>
      <c r="P1361" s="596"/>
      <c r="Q1361" s="596"/>
      <c r="R1361" s="596"/>
      <c r="S1361" s="596"/>
      <c r="T1361" s="596" t="s">
        <v>164</v>
      </c>
      <c r="U1361" s="596"/>
      <c r="V1361" s="596"/>
      <c r="W1361" s="596"/>
      <c r="X1361" s="596"/>
      <c r="Y1361" s="596" t="s">
        <v>406</v>
      </c>
      <c r="Z1361" s="596"/>
      <c r="AA1361" s="596"/>
      <c r="AB1361" s="596"/>
      <c r="AC1361" s="596"/>
      <c r="AD1361" s="596"/>
      <c r="AE1361" s="596" t="s">
        <v>393</v>
      </c>
      <c r="AF1361" s="596"/>
      <c r="AG1361" s="596"/>
      <c r="AH1361" s="596"/>
      <c r="AI1361" s="596"/>
      <c r="AJ1361" s="596"/>
      <c r="AK1361" s="596" t="s">
        <v>407</v>
      </c>
      <c r="AL1361" s="596"/>
      <c r="AM1361" s="596"/>
    </row>
    <row r="1362" spans="1:39" ht="12.75" hidden="1" customHeight="1">
      <c r="A1362" s="3"/>
      <c r="B1362" s="3"/>
      <c r="C1362" s="3"/>
      <c r="D1362" s="3"/>
      <c r="F1362" s="597"/>
      <c r="G1362" s="597"/>
      <c r="H1362" s="597"/>
      <c r="I1362" s="597"/>
      <c r="J1362" s="597"/>
      <c r="K1362" s="597"/>
      <c r="L1362" s="597"/>
      <c r="M1362" s="597"/>
      <c r="N1362" s="597"/>
      <c r="O1362" s="597"/>
      <c r="P1362" s="597"/>
      <c r="Q1362" s="597"/>
      <c r="R1362" s="597"/>
      <c r="S1362" s="597"/>
      <c r="T1362" s="597"/>
      <c r="U1362" s="597"/>
      <c r="V1362" s="597"/>
      <c r="W1362" s="597"/>
      <c r="X1362" s="597"/>
      <c r="Y1362" s="597"/>
      <c r="Z1362" s="597"/>
      <c r="AA1362" s="597"/>
      <c r="AB1362" s="597"/>
      <c r="AC1362" s="597"/>
      <c r="AD1362" s="597"/>
      <c r="AE1362" s="597"/>
      <c r="AF1362" s="597"/>
      <c r="AG1362" s="597"/>
      <c r="AH1362" s="597"/>
      <c r="AI1362" s="597"/>
      <c r="AJ1362" s="597"/>
      <c r="AK1362" s="597"/>
      <c r="AL1362" s="597"/>
      <c r="AM1362" s="597"/>
    </row>
    <row r="1363" spans="1:39" hidden="1">
      <c r="A1363" s="3"/>
      <c r="B1363" s="3"/>
      <c r="C1363" s="3"/>
      <c r="D1363" s="3"/>
      <c r="F1363" s="718" t="s">
        <v>408</v>
      </c>
      <c r="G1363" s="718"/>
      <c r="H1363" s="718"/>
      <c r="I1363" s="718"/>
      <c r="J1363" s="718"/>
      <c r="K1363" s="718"/>
      <c r="L1363" s="718"/>
      <c r="M1363" s="718"/>
      <c r="N1363" s="718" t="s">
        <v>397</v>
      </c>
      <c r="O1363" s="718"/>
      <c r="P1363" s="718"/>
      <c r="Q1363" s="718"/>
      <c r="R1363" s="718"/>
      <c r="S1363" s="718"/>
      <c r="T1363" s="640" t="s">
        <v>409</v>
      </c>
      <c r="U1363" s="640"/>
      <c r="V1363" s="640"/>
      <c r="W1363" s="640"/>
      <c r="X1363" s="640"/>
      <c r="Y1363" s="724">
        <v>41115</v>
      </c>
      <c r="Z1363" s="724"/>
      <c r="AA1363" s="724"/>
      <c r="AB1363" s="724"/>
      <c r="AC1363" s="724"/>
      <c r="AD1363" s="724"/>
      <c r="AE1363" s="719">
        <v>0.185</v>
      </c>
      <c r="AF1363" s="719"/>
      <c r="AG1363" s="719"/>
      <c r="AH1363" s="719"/>
      <c r="AI1363" s="719"/>
      <c r="AJ1363" s="719"/>
      <c r="AK1363" s="721">
        <v>282</v>
      </c>
      <c r="AL1363" s="721"/>
      <c r="AM1363" s="721"/>
    </row>
    <row r="1364" spans="1:39" hidden="1">
      <c r="A1364" s="3"/>
      <c r="B1364" s="3"/>
      <c r="C1364" s="3"/>
      <c r="D1364" s="3"/>
      <c r="F1364" s="640"/>
      <c r="G1364" s="640"/>
      <c r="H1364" s="640"/>
      <c r="I1364" s="640"/>
      <c r="J1364" s="640"/>
      <c r="K1364" s="640"/>
      <c r="L1364" s="640"/>
      <c r="M1364" s="640"/>
      <c r="N1364" s="640"/>
      <c r="O1364" s="640"/>
      <c r="P1364" s="640"/>
      <c r="Q1364" s="640"/>
      <c r="R1364" s="640"/>
      <c r="S1364" s="640"/>
      <c r="T1364" s="640"/>
      <c r="U1364" s="640"/>
      <c r="V1364" s="640"/>
      <c r="W1364" s="640"/>
      <c r="X1364" s="640"/>
      <c r="Y1364" s="714"/>
      <c r="Z1364" s="714"/>
      <c r="AA1364" s="714"/>
      <c r="AB1364" s="714"/>
      <c r="AC1364" s="714"/>
      <c r="AD1364" s="714"/>
      <c r="AE1364" s="720"/>
      <c r="AF1364" s="720"/>
      <c r="AG1364" s="720"/>
      <c r="AH1364" s="720"/>
      <c r="AI1364" s="720"/>
      <c r="AJ1364" s="720"/>
      <c r="AK1364" s="722"/>
      <c r="AL1364" s="722"/>
      <c r="AM1364" s="722"/>
    </row>
    <row r="1365" spans="1:39" ht="13.5" hidden="1" thickBot="1">
      <c r="A1365" s="3"/>
      <c r="B1365" s="3"/>
      <c r="C1365" s="3"/>
      <c r="D1365" s="3"/>
      <c r="F1365" s="28"/>
      <c r="G1365" s="28"/>
      <c r="H1365" s="28"/>
      <c r="I1365" s="28"/>
      <c r="J1365" s="28"/>
      <c r="K1365" s="28"/>
      <c r="L1365" s="28"/>
      <c r="M1365" s="28"/>
      <c r="N1365" s="28"/>
      <c r="O1365" s="28"/>
      <c r="P1365" s="28"/>
      <c r="Q1365" s="28"/>
      <c r="R1365" s="28"/>
      <c r="S1365" s="28"/>
      <c r="T1365" s="28"/>
      <c r="U1365" s="28"/>
      <c r="V1365" s="28"/>
      <c r="W1365" s="28"/>
      <c r="X1365" s="28"/>
      <c r="Y1365" s="28"/>
      <c r="Z1365" s="28"/>
      <c r="AA1365" s="28"/>
      <c r="AB1365" s="28"/>
      <c r="AC1365" s="28"/>
      <c r="AD1365" s="28"/>
      <c r="AE1365" s="73"/>
      <c r="AF1365" s="73"/>
      <c r="AG1365" s="73"/>
      <c r="AH1365" s="73"/>
      <c r="AI1365" s="73"/>
      <c r="AJ1365" s="73"/>
      <c r="AK1365" s="731">
        <f>SUBTOTAL(9,AK1363:AM1364)</f>
        <v>0</v>
      </c>
      <c r="AL1365" s="731"/>
      <c r="AM1365" s="731"/>
    </row>
    <row r="1366" spans="1:39" hidden="1">
      <c r="A1366" s="3"/>
      <c r="B1366" s="3"/>
      <c r="C1366" s="3"/>
      <c r="D1366" s="3"/>
      <c r="AE1366" s="78"/>
      <c r="AF1366" s="78"/>
      <c r="AG1366" s="78"/>
      <c r="AH1366" s="78"/>
      <c r="AI1366" s="78"/>
      <c r="AJ1366" s="78"/>
    </row>
    <row r="1367" spans="1:39" ht="12.75" hidden="1" customHeight="1">
      <c r="A1367" s="3"/>
      <c r="B1367" s="3"/>
      <c r="C1367" s="3"/>
      <c r="D1367" s="3"/>
      <c r="F1367" s="692" t="s">
        <v>410</v>
      </c>
      <c r="G1367" s="692"/>
      <c r="H1367" s="692"/>
      <c r="I1367" s="692"/>
      <c r="J1367" s="692"/>
      <c r="K1367" s="692"/>
      <c r="L1367" s="692"/>
      <c r="M1367" s="692"/>
      <c r="N1367" s="692"/>
      <c r="O1367" s="692"/>
      <c r="P1367" s="692"/>
      <c r="Q1367" s="692"/>
      <c r="R1367" s="692"/>
      <c r="S1367" s="692"/>
      <c r="T1367" s="692"/>
      <c r="U1367" s="692"/>
      <c r="V1367" s="692"/>
      <c r="W1367" s="692"/>
      <c r="X1367" s="692"/>
      <c r="Y1367" s="692"/>
      <c r="Z1367" s="692"/>
      <c r="AA1367" s="692"/>
      <c r="AB1367" s="692"/>
      <c r="AC1367" s="692"/>
      <c r="AD1367" s="692"/>
      <c r="AE1367" s="692"/>
      <c r="AF1367" s="692"/>
      <c r="AG1367" s="692"/>
      <c r="AH1367" s="692"/>
      <c r="AI1367" s="692"/>
      <c r="AJ1367" s="692"/>
      <c r="AK1367" s="692"/>
      <c r="AL1367" s="692"/>
      <c r="AM1367" s="692"/>
    </row>
    <row r="1368" spans="1:39" hidden="1">
      <c r="A1368" s="3"/>
      <c r="B1368" s="3"/>
      <c r="C1368" s="3"/>
      <c r="D1368" s="3"/>
      <c r="F1368" s="692"/>
      <c r="G1368" s="692"/>
      <c r="H1368" s="692"/>
      <c r="I1368" s="692"/>
      <c r="J1368" s="692"/>
      <c r="K1368" s="692"/>
      <c r="L1368" s="692"/>
      <c r="M1368" s="692"/>
      <c r="N1368" s="692"/>
      <c r="O1368" s="692"/>
      <c r="P1368" s="692"/>
      <c r="Q1368" s="692"/>
      <c r="R1368" s="692"/>
      <c r="S1368" s="692"/>
      <c r="T1368" s="692"/>
      <c r="U1368" s="692"/>
      <c r="V1368" s="692"/>
      <c r="W1368" s="692"/>
      <c r="X1368" s="692"/>
      <c r="Y1368" s="692"/>
      <c r="Z1368" s="692"/>
      <c r="AA1368" s="692"/>
      <c r="AB1368" s="692"/>
      <c r="AC1368" s="692"/>
      <c r="AD1368" s="692"/>
      <c r="AE1368" s="692"/>
      <c r="AF1368" s="692"/>
      <c r="AG1368" s="692"/>
      <c r="AH1368" s="692"/>
      <c r="AI1368" s="692"/>
      <c r="AJ1368" s="692"/>
      <c r="AK1368" s="692"/>
      <c r="AL1368" s="692"/>
      <c r="AM1368" s="692"/>
    </row>
    <row r="1369" spans="1:39" hidden="1">
      <c r="A1369" s="3"/>
      <c r="B1369" s="3"/>
      <c r="C1369" s="3"/>
      <c r="D1369" s="3"/>
      <c r="AE1369" s="77"/>
      <c r="AF1369" s="77"/>
      <c r="AG1369" s="77"/>
      <c r="AH1369" s="77"/>
      <c r="AI1369" s="77"/>
      <c r="AJ1369" s="77"/>
    </row>
    <row r="1370" spans="1:39" ht="12.75" hidden="1" customHeight="1">
      <c r="A1370" s="3"/>
      <c r="B1370" s="3"/>
      <c r="C1370" s="3"/>
      <c r="D1370" s="3"/>
      <c r="F1370" s="596" t="s">
        <v>390</v>
      </c>
      <c r="G1370" s="596"/>
      <c r="H1370" s="596"/>
      <c r="I1370" s="596"/>
      <c r="J1370" s="596"/>
      <c r="K1370" s="596"/>
      <c r="L1370" s="596"/>
      <c r="M1370" s="596"/>
      <c r="N1370" s="596" t="s">
        <v>391</v>
      </c>
      <c r="O1370" s="596"/>
      <c r="P1370" s="596"/>
      <c r="Q1370" s="596"/>
      <c r="R1370" s="596"/>
      <c r="S1370" s="596"/>
      <c r="T1370" s="596" t="s">
        <v>164</v>
      </c>
      <c r="U1370" s="596"/>
      <c r="V1370" s="596"/>
      <c r="W1370" s="596"/>
      <c r="X1370" s="596"/>
      <c r="Y1370" s="596" t="s">
        <v>406</v>
      </c>
      <c r="Z1370" s="596"/>
      <c r="AA1370" s="596"/>
      <c r="AB1370" s="596"/>
      <c r="AC1370" s="596"/>
      <c r="AD1370" s="596"/>
      <c r="AE1370" s="596" t="s">
        <v>393</v>
      </c>
      <c r="AF1370" s="596"/>
      <c r="AG1370" s="596"/>
      <c r="AH1370" s="596"/>
      <c r="AI1370" s="596"/>
      <c r="AJ1370" s="596"/>
      <c r="AK1370" s="596" t="s">
        <v>407</v>
      </c>
      <c r="AL1370" s="596"/>
      <c r="AM1370" s="596"/>
    </row>
    <row r="1371" spans="1:39" hidden="1">
      <c r="A1371" s="3"/>
      <c r="B1371" s="3"/>
      <c r="C1371" s="3"/>
      <c r="D1371" s="3"/>
      <c r="F1371" s="597"/>
      <c r="G1371" s="597"/>
      <c r="H1371" s="597"/>
      <c r="I1371" s="597"/>
      <c r="J1371" s="597"/>
      <c r="K1371" s="597"/>
      <c r="L1371" s="597"/>
      <c r="M1371" s="597"/>
      <c r="N1371" s="597"/>
      <c r="O1371" s="597"/>
      <c r="P1371" s="597"/>
      <c r="Q1371" s="597"/>
      <c r="R1371" s="597"/>
      <c r="S1371" s="597"/>
      <c r="T1371" s="597"/>
      <c r="U1371" s="597"/>
      <c r="V1371" s="597"/>
      <c r="W1371" s="597"/>
      <c r="X1371" s="597"/>
      <c r="Y1371" s="597"/>
      <c r="Z1371" s="597"/>
      <c r="AA1371" s="597"/>
      <c r="AB1371" s="597"/>
      <c r="AC1371" s="597"/>
      <c r="AD1371" s="597"/>
      <c r="AE1371" s="597"/>
      <c r="AF1371" s="597"/>
      <c r="AG1371" s="597"/>
      <c r="AH1371" s="597"/>
      <c r="AI1371" s="597"/>
      <c r="AJ1371" s="597"/>
      <c r="AK1371" s="597"/>
      <c r="AL1371" s="597"/>
      <c r="AM1371" s="597"/>
    </row>
    <row r="1372" spans="1:39" ht="12.75" hidden="1" customHeight="1">
      <c r="A1372" s="3"/>
      <c r="B1372" s="3"/>
      <c r="C1372" s="3"/>
      <c r="D1372" s="3"/>
      <c r="F1372" s="718" t="s">
        <v>408</v>
      </c>
      <c r="G1372" s="718"/>
      <c r="H1372" s="718"/>
      <c r="I1372" s="718"/>
      <c r="J1372" s="718"/>
      <c r="K1372" s="718"/>
      <c r="L1372" s="718"/>
      <c r="M1372" s="718"/>
      <c r="N1372" s="718" t="s">
        <v>397</v>
      </c>
      <c r="O1372" s="718"/>
      <c r="P1372" s="718"/>
      <c r="Q1372" s="718"/>
      <c r="R1372" s="718"/>
      <c r="S1372" s="718"/>
      <c r="T1372" s="718" t="s">
        <v>409</v>
      </c>
      <c r="U1372" s="718"/>
      <c r="V1372" s="718"/>
      <c r="W1372" s="718"/>
      <c r="X1372" s="718"/>
      <c r="Y1372" s="724">
        <v>40749</v>
      </c>
      <c r="Z1372" s="724"/>
      <c r="AA1372" s="724"/>
      <c r="AB1372" s="724"/>
      <c r="AC1372" s="724"/>
      <c r="AD1372" s="724"/>
      <c r="AE1372" s="719">
        <v>0.185</v>
      </c>
      <c r="AF1372" s="719"/>
      <c r="AG1372" s="719"/>
      <c r="AH1372" s="719"/>
      <c r="AI1372" s="719"/>
      <c r="AJ1372" s="719"/>
      <c r="AK1372" s="723">
        <v>92</v>
      </c>
      <c r="AL1372" s="723"/>
      <c r="AM1372" s="723"/>
    </row>
    <row r="1373" spans="1:39" ht="12.75" hidden="1" customHeight="1">
      <c r="A1373" s="3"/>
      <c r="B1373" s="3"/>
      <c r="C1373" s="3"/>
      <c r="D1373" s="3"/>
      <c r="F1373" s="640"/>
      <c r="G1373" s="640"/>
      <c r="H1373" s="640"/>
      <c r="I1373" s="640"/>
      <c r="J1373" s="640"/>
      <c r="K1373" s="640"/>
      <c r="L1373" s="640"/>
      <c r="M1373" s="640"/>
      <c r="N1373" s="640"/>
      <c r="O1373" s="640"/>
      <c r="P1373" s="640"/>
      <c r="Q1373" s="640"/>
      <c r="R1373" s="640"/>
      <c r="S1373" s="640"/>
      <c r="T1373" s="640"/>
      <c r="U1373" s="640"/>
      <c r="V1373" s="640"/>
      <c r="W1373" s="640"/>
      <c r="X1373" s="640"/>
      <c r="Y1373" s="714"/>
      <c r="Z1373" s="714"/>
      <c r="AA1373" s="714"/>
      <c r="AB1373" s="714"/>
      <c r="AC1373" s="714"/>
      <c r="AD1373" s="714"/>
      <c r="AE1373" s="720"/>
      <c r="AF1373" s="720"/>
      <c r="AG1373" s="720"/>
      <c r="AH1373" s="720"/>
      <c r="AI1373" s="720"/>
      <c r="AJ1373" s="720"/>
      <c r="AK1373" s="715"/>
      <c r="AL1373" s="715"/>
      <c r="AM1373" s="715"/>
    </row>
    <row r="1374" spans="1:39" ht="12.75" hidden="1" customHeight="1">
      <c r="A1374" s="3"/>
      <c r="B1374" s="3"/>
      <c r="C1374" s="3"/>
      <c r="D1374" s="3"/>
      <c r="F1374" s="640" t="s">
        <v>411</v>
      </c>
      <c r="G1374" s="640"/>
      <c r="H1374" s="640"/>
      <c r="I1374" s="640"/>
      <c r="J1374" s="640"/>
      <c r="K1374" s="640"/>
      <c r="L1374" s="640"/>
      <c r="M1374" s="640"/>
      <c r="N1374" s="640" t="s">
        <v>397</v>
      </c>
      <c r="O1374" s="640"/>
      <c r="P1374" s="640"/>
      <c r="Q1374" s="640"/>
      <c r="R1374" s="640"/>
      <c r="S1374" s="640"/>
      <c r="T1374" s="640" t="s">
        <v>409</v>
      </c>
      <c r="U1374" s="640"/>
      <c r="V1374" s="640"/>
      <c r="W1374" s="640"/>
      <c r="X1374" s="640"/>
      <c r="Y1374" s="714">
        <v>40655</v>
      </c>
      <c r="Z1374" s="714"/>
      <c r="AA1374" s="714"/>
      <c r="AB1374" s="714"/>
      <c r="AC1374" s="714"/>
      <c r="AD1374" s="714"/>
      <c r="AE1374" s="725">
        <v>0.18</v>
      </c>
      <c r="AF1374" s="725"/>
      <c r="AG1374" s="725"/>
      <c r="AH1374" s="725"/>
      <c r="AI1374" s="725"/>
      <c r="AJ1374" s="725"/>
      <c r="AK1374" s="715">
        <v>126</v>
      </c>
      <c r="AL1374" s="715"/>
      <c r="AM1374" s="715"/>
    </row>
    <row r="1375" spans="1:39" ht="12.75" hidden="1" customHeight="1">
      <c r="A1375" s="3"/>
      <c r="B1375" s="3"/>
      <c r="C1375" s="3"/>
      <c r="D1375" s="3"/>
      <c r="F1375" s="640"/>
      <c r="G1375" s="640"/>
      <c r="H1375" s="640"/>
      <c r="I1375" s="640"/>
      <c r="J1375" s="640"/>
      <c r="K1375" s="640"/>
      <c r="L1375" s="640"/>
      <c r="M1375" s="640"/>
      <c r="N1375" s="640"/>
      <c r="O1375" s="640"/>
      <c r="P1375" s="640"/>
      <c r="Q1375" s="640"/>
      <c r="R1375" s="640"/>
      <c r="S1375" s="640"/>
      <c r="T1375" s="640"/>
      <c r="U1375" s="640"/>
      <c r="V1375" s="640"/>
      <c r="W1375" s="640"/>
      <c r="X1375" s="640"/>
      <c r="Y1375" s="714"/>
      <c r="Z1375" s="714"/>
      <c r="AA1375" s="714"/>
      <c r="AB1375" s="714"/>
      <c r="AC1375" s="714"/>
      <c r="AD1375" s="714"/>
      <c r="AE1375" s="725"/>
      <c r="AF1375" s="725"/>
      <c r="AG1375" s="725"/>
      <c r="AH1375" s="725"/>
      <c r="AI1375" s="725"/>
      <c r="AJ1375" s="725"/>
      <c r="AK1375" s="716"/>
      <c r="AL1375" s="716"/>
      <c r="AM1375" s="716"/>
    </row>
    <row r="1376" spans="1:39" ht="13.5" hidden="1" thickBot="1">
      <c r="A1376" s="3"/>
      <c r="B1376" s="3"/>
      <c r="C1376" s="3"/>
      <c r="D1376" s="3"/>
      <c r="F1376" s="28"/>
      <c r="G1376" s="28"/>
      <c r="H1376" s="28"/>
      <c r="I1376" s="28"/>
      <c r="J1376" s="28"/>
      <c r="K1376" s="28"/>
      <c r="L1376" s="28"/>
      <c r="M1376" s="28"/>
      <c r="N1376" s="28"/>
      <c r="O1376" s="28"/>
      <c r="P1376" s="28"/>
      <c r="Q1376" s="28"/>
      <c r="R1376" s="28"/>
      <c r="S1376" s="28"/>
      <c r="T1376" s="28"/>
      <c r="U1376" s="28"/>
      <c r="V1376" s="28"/>
      <c r="W1376" s="28"/>
      <c r="X1376" s="28"/>
      <c r="Y1376" s="28"/>
      <c r="Z1376" s="28"/>
      <c r="AA1376" s="28"/>
      <c r="AB1376" s="28"/>
      <c r="AC1376" s="28"/>
      <c r="AD1376" s="28"/>
      <c r="AE1376" s="73"/>
      <c r="AF1376" s="73"/>
      <c r="AG1376" s="73"/>
      <c r="AH1376" s="73"/>
      <c r="AI1376" s="73"/>
      <c r="AJ1376" s="73"/>
      <c r="AK1376" s="713">
        <f>AK1372+AK1374</f>
        <v>218</v>
      </c>
      <c r="AL1376" s="713"/>
      <c r="AM1376" s="713"/>
    </row>
    <row r="1377" spans="1:40" hidden="1">
      <c r="A1377" s="3"/>
      <c r="B1377" s="3"/>
      <c r="C1377" s="3"/>
      <c r="D1377" s="3"/>
      <c r="AE1377" s="73"/>
      <c r="AF1377" s="73"/>
      <c r="AG1377" s="73"/>
      <c r="AH1377" s="73"/>
      <c r="AI1377" s="73"/>
      <c r="AJ1377" s="73"/>
      <c r="AK1377" s="73"/>
      <c r="AL1377" s="73"/>
      <c r="AM1377" s="73"/>
    </row>
    <row r="1378" spans="1:40" ht="12.75" hidden="1" customHeight="1">
      <c r="A1378" s="3"/>
      <c r="B1378" s="3"/>
      <c r="C1378" s="3"/>
      <c r="D1378" s="3"/>
      <c r="F1378" s="692" t="s">
        <v>412</v>
      </c>
      <c r="G1378" s="692"/>
      <c r="H1378" s="692"/>
      <c r="I1378" s="692"/>
      <c r="J1378" s="692"/>
      <c r="K1378" s="692"/>
      <c r="L1378" s="692"/>
      <c r="M1378" s="692"/>
      <c r="N1378" s="692"/>
      <c r="O1378" s="692"/>
      <c r="P1378" s="692"/>
      <c r="Q1378" s="692"/>
      <c r="R1378" s="692"/>
      <c r="S1378" s="692"/>
      <c r="T1378" s="692"/>
      <c r="U1378" s="692"/>
      <c r="V1378" s="692"/>
      <c r="W1378" s="692"/>
      <c r="X1378" s="692"/>
      <c r="Y1378" s="692"/>
      <c r="Z1378" s="692"/>
      <c r="AA1378" s="692"/>
      <c r="AB1378" s="692"/>
      <c r="AC1378" s="692"/>
      <c r="AD1378" s="692"/>
      <c r="AE1378" s="692"/>
      <c r="AF1378" s="692"/>
      <c r="AG1378" s="692"/>
      <c r="AH1378" s="692"/>
      <c r="AI1378" s="692"/>
      <c r="AJ1378" s="692"/>
      <c r="AK1378" s="692"/>
      <c r="AL1378" s="692"/>
      <c r="AM1378" s="692"/>
    </row>
    <row r="1379" spans="1:40" hidden="1">
      <c r="A1379" s="3"/>
      <c r="B1379" s="3"/>
      <c r="C1379" s="3"/>
      <c r="D1379" s="3"/>
      <c r="F1379" s="692"/>
      <c r="G1379" s="692"/>
      <c r="H1379" s="692"/>
      <c r="I1379" s="692"/>
      <c r="J1379" s="692"/>
      <c r="K1379" s="692"/>
      <c r="L1379" s="692"/>
      <c r="M1379" s="692"/>
      <c r="N1379" s="692"/>
      <c r="O1379" s="692"/>
      <c r="P1379" s="692"/>
      <c r="Q1379" s="692"/>
      <c r="R1379" s="692"/>
      <c r="S1379" s="692"/>
      <c r="T1379" s="692"/>
      <c r="U1379" s="692"/>
      <c r="V1379" s="692"/>
      <c r="W1379" s="692"/>
      <c r="X1379" s="692"/>
      <c r="Y1379" s="692"/>
      <c r="Z1379" s="692"/>
      <c r="AA1379" s="692"/>
      <c r="AB1379" s="692"/>
      <c r="AC1379" s="692"/>
      <c r="AD1379" s="692"/>
      <c r="AE1379" s="692"/>
      <c r="AF1379" s="692"/>
      <c r="AG1379" s="692"/>
      <c r="AH1379" s="692"/>
      <c r="AI1379" s="692"/>
      <c r="AJ1379" s="692"/>
      <c r="AK1379" s="692"/>
      <c r="AL1379" s="692"/>
      <c r="AM1379" s="692"/>
    </row>
    <row r="1380" spans="1:40" hidden="1">
      <c r="A1380" s="3"/>
      <c r="B1380" s="3"/>
      <c r="C1380" s="3"/>
      <c r="D1380" s="3"/>
      <c r="AE1380" s="77"/>
      <c r="AF1380" s="77"/>
      <c r="AG1380" s="77"/>
      <c r="AH1380" s="77"/>
      <c r="AI1380" s="77"/>
      <c r="AJ1380" s="77"/>
    </row>
    <row r="1381" spans="1:40" ht="12.75" hidden="1" customHeight="1">
      <c r="A1381" s="3"/>
      <c r="B1381" s="3"/>
      <c r="C1381" s="3"/>
      <c r="D1381" s="3"/>
      <c r="F1381" s="596" t="s">
        <v>390</v>
      </c>
      <c r="G1381" s="596"/>
      <c r="H1381" s="596"/>
      <c r="I1381" s="596"/>
      <c r="J1381" s="596"/>
      <c r="K1381" s="596"/>
      <c r="L1381" s="596"/>
      <c r="M1381" s="596"/>
      <c r="N1381" s="596" t="s">
        <v>391</v>
      </c>
      <c r="O1381" s="596"/>
      <c r="P1381" s="596"/>
      <c r="Q1381" s="596"/>
      <c r="R1381" s="596"/>
      <c r="S1381" s="596"/>
      <c r="T1381" s="596" t="s">
        <v>164</v>
      </c>
      <c r="U1381" s="596"/>
      <c r="V1381" s="596"/>
      <c r="W1381" s="596"/>
      <c r="X1381" s="596"/>
      <c r="Y1381" s="596" t="s">
        <v>406</v>
      </c>
      <c r="Z1381" s="596"/>
      <c r="AA1381" s="596"/>
      <c r="AB1381" s="596"/>
      <c r="AC1381" s="596"/>
      <c r="AD1381" s="596"/>
      <c r="AE1381" s="596" t="s">
        <v>393</v>
      </c>
      <c r="AF1381" s="596"/>
      <c r="AG1381" s="596"/>
      <c r="AH1381" s="596"/>
      <c r="AI1381" s="596"/>
      <c r="AJ1381" s="596"/>
      <c r="AK1381" s="596" t="s">
        <v>407</v>
      </c>
      <c r="AL1381" s="596"/>
      <c r="AM1381" s="596"/>
    </row>
    <row r="1382" spans="1:40" hidden="1">
      <c r="A1382" s="3"/>
      <c r="B1382" s="3"/>
      <c r="C1382" s="3"/>
      <c r="D1382" s="3"/>
      <c r="F1382" s="597"/>
      <c r="G1382" s="597"/>
      <c r="H1382" s="597"/>
      <c r="I1382" s="597"/>
      <c r="J1382" s="597"/>
      <c r="K1382" s="597"/>
      <c r="L1382" s="597"/>
      <c r="M1382" s="597"/>
      <c r="N1382" s="597"/>
      <c r="O1382" s="597"/>
      <c r="P1382" s="597"/>
      <c r="Q1382" s="597"/>
      <c r="R1382" s="597"/>
      <c r="S1382" s="597"/>
      <c r="T1382" s="597"/>
      <c r="U1382" s="597"/>
      <c r="V1382" s="597"/>
      <c r="W1382" s="597"/>
      <c r="X1382" s="597"/>
      <c r="Y1382" s="597"/>
      <c r="Z1382" s="597"/>
      <c r="AA1382" s="597"/>
      <c r="AB1382" s="597"/>
      <c r="AC1382" s="597"/>
      <c r="AD1382" s="597"/>
      <c r="AE1382" s="597"/>
      <c r="AF1382" s="597"/>
      <c r="AG1382" s="597"/>
      <c r="AH1382" s="597"/>
      <c r="AI1382" s="597"/>
      <c r="AJ1382" s="597"/>
      <c r="AK1382" s="597"/>
      <c r="AL1382" s="597"/>
      <c r="AM1382" s="597"/>
    </row>
    <row r="1383" spans="1:40" ht="12.75" hidden="1" customHeight="1">
      <c r="A1383" s="3"/>
      <c r="B1383" s="3"/>
      <c r="C1383" s="3"/>
      <c r="D1383" s="3"/>
      <c r="F1383" s="718" t="s">
        <v>413</v>
      </c>
      <c r="G1383" s="718"/>
      <c r="H1383" s="718"/>
      <c r="I1383" s="718"/>
      <c r="J1383" s="718"/>
      <c r="K1383" s="718"/>
      <c r="L1383" s="718"/>
      <c r="M1383" s="718"/>
      <c r="N1383" s="718" t="s">
        <v>414</v>
      </c>
      <c r="O1383" s="718"/>
      <c r="P1383" s="718"/>
      <c r="Q1383" s="718"/>
      <c r="R1383" s="718"/>
      <c r="S1383" s="718"/>
      <c r="T1383" s="718" t="s">
        <v>409</v>
      </c>
      <c r="U1383" s="718"/>
      <c r="V1383" s="718"/>
      <c r="W1383" s="718"/>
      <c r="X1383" s="718"/>
      <c r="Y1383" s="724">
        <v>40384</v>
      </c>
      <c r="Z1383" s="724"/>
      <c r="AA1383" s="724"/>
      <c r="AB1383" s="724"/>
      <c r="AC1383" s="724"/>
      <c r="AD1383" s="724"/>
      <c r="AE1383" s="719">
        <v>9.0499999999999997E-2</v>
      </c>
      <c r="AF1383" s="719"/>
      <c r="AG1383" s="719"/>
      <c r="AH1383" s="719"/>
      <c r="AI1383" s="719"/>
      <c r="AJ1383" s="719"/>
      <c r="AK1383" s="723">
        <v>17</v>
      </c>
      <c r="AL1383" s="723"/>
      <c r="AM1383" s="723"/>
    </row>
    <row r="1384" spans="1:40" hidden="1">
      <c r="A1384" s="3"/>
      <c r="B1384" s="3"/>
      <c r="C1384" s="3"/>
      <c r="D1384" s="3"/>
      <c r="F1384" s="640"/>
      <c r="G1384" s="640"/>
      <c r="H1384" s="640"/>
      <c r="I1384" s="640"/>
      <c r="J1384" s="640"/>
      <c r="K1384" s="640"/>
      <c r="L1384" s="640"/>
      <c r="M1384" s="640"/>
      <c r="N1384" s="640"/>
      <c r="O1384" s="640"/>
      <c r="P1384" s="640"/>
      <c r="Q1384" s="640"/>
      <c r="R1384" s="640"/>
      <c r="S1384" s="640"/>
      <c r="T1384" s="640"/>
      <c r="U1384" s="640"/>
      <c r="V1384" s="640"/>
      <c r="W1384" s="640"/>
      <c r="X1384" s="640"/>
      <c r="Y1384" s="714"/>
      <c r="Z1384" s="714"/>
      <c r="AA1384" s="714"/>
      <c r="AB1384" s="714"/>
      <c r="AC1384" s="714"/>
      <c r="AD1384" s="714"/>
      <c r="AE1384" s="720"/>
      <c r="AF1384" s="720"/>
      <c r="AG1384" s="720"/>
      <c r="AH1384" s="720"/>
      <c r="AI1384" s="720"/>
      <c r="AJ1384" s="720"/>
      <c r="AK1384" s="715"/>
      <c r="AL1384" s="715"/>
      <c r="AM1384" s="715"/>
    </row>
    <row r="1385" spans="1:40" ht="12.75" hidden="1" customHeight="1">
      <c r="A1385" s="3"/>
      <c r="B1385" s="3"/>
      <c r="C1385" s="3"/>
      <c r="D1385" s="3"/>
      <c r="F1385" s="640" t="s">
        <v>411</v>
      </c>
      <c r="G1385" s="640"/>
      <c r="H1385" s="640"/>
      <c r="I1385" s="640"/>
      <c r="J1385" s="640"/>
      <c r="K1385" s="640"/>
      <c r="L1385" s="640"/>
      <c r="M1385" s="640"/>
      <c r="N1385" s="640" t="s">
        <v>397</v>
      </c>
      <c r="O1385" s="640"/>
      <c r="P1385" s="640"/>
      <c r="Q1385" s="640"/>
      <c r="R1385" s="640"/>
      <c r="S1385" s="640"/>
      <c r="T1385" s="640" t="s">
        <v>409</v>
      </c>
      <c r="U1385" s="640"/>
      <c r="V1385" s="640"/>
      <c r="W1385" s="640"/>
      <c r="X1385" s="640"/>
      <c r="Y1385" s="714">
        <v>40290</v>
      </c>
      <c r="Z1385" s="714"/>
      <c r="AA1385" s="714"/>
      <c r="AB1385" s="714"/>
      <c r="AC1385" s="714"/>
      <c r="AD1385" s="714"/>
      <c r="AE1385" s="725">
        <v>0.18</v>
      </c>
      <c r="AF1385" s="725"/>
      <c r="AG1385" s="725"/>
      <c r="AH1385" s="725"/>
      <c r="AI1385" s="725"/>
      <c r="AJ1385" s="725"/>
      <c r="AK1385" s="715">
        <v>125</v>
      </c>
      <c r="AL1385" s="715"/>
      <c r="AM1385" s="715"/>
    </row>
    <row r="1386" spans="1:40" hidden="1">
      <c r="A1386" s="3"/>
      <c r="B1386" s="3"/>
      <c r="C1386" s="3"/>
      <c r="D1386" s="3"/>
      <c r="F1386" s="640"/>
      <c r="G1386" s="640"/>
      <c r="H1386" s="640"/>
      <c r="I1386" s="640"/>
      <c r="J1386" s="640"/>
      <c r="K1386" s="640"/>
      <c r="L1386" s="640"/>
      <c r="M1386" s="640"/>
      <c r="N1386" s="640"/>
      <c r="O1386" s="640"/>
      <c r="P1386" s="640"/>
      <c r="Q1386" s="640"/>
      <c r="R1386" s="640"/>
      <c r="S1386" s="640"/>
      <c r="T1386" s="640"/>
      <c r="U1386" s="640"/>
      <c r="V1386" s="640"/>
      <c r="W1386" s="640"/>
      <c r="X1386" s="640"/>
      <c r="Y1386" s="714"/>
      <c r="Z1386" s="714"/>
      <c r="AA1386" s="714"/>
      <c r="AB1386" s="714"/>
      <c r="AC1386" s="714"/>
      <c r="AD1386" s="714"/>
      <c r="AE1386" s="725"/>
      <c r="AF1386" s="725"/>
      <c r="AG1386" s="725"/>
      <c r="AH1386" s="725"/>
      <c r="AI1386" s="725"/>
      <c r="AJ1386" s="725"/>
      <c r="AK1386" s="716"/>
      <c r="AL1386" s="716"/>
      <c r="AM1386" s="716"/>
    </row>
    <row r="1387" spans="1:40" ht="13.5" hidden="1" thickBot="1">
      <c r="A1387" s="3"/>
      <c r="B1387" s="3"/>
      <c r="C1387" s="3"/>
      <c r="D1387" s="3"/>
      <c r="F1387" s="28"/>
      <c r="G1387" s="28"/>
      <c r="H1387" s="28"/>
      <c r="I1387" s="28"/>
      <c r="J1387" s="28"/>
      <c r="K1387" s="28"/>
      <c r="L1387" s="28"/>
      <c r="M1387" s="28"/>
      <c r="N1387" s="28"/>
      <c r="O1387" s="28"/>
      <c r="P1387" s="28"/>
      <c r="Q1387" s="28"/>
      <c r="R1387" s="28"/>
      <c r="S1387" s="28"/>
      <c r="T1387" s="28"/>
      <c r="U1387" s="28"/>
      <c r="V1387" s="28"/>
      <c r="W1387" s="28"/>
      <c r="X1387" s="28"/>
      <c r="Y1387" s="28"/>
      <c r="Z1387" s="28"/>
      <c r="AA1387" s="28"/>
      <c r="AB1387" s="28"/>
      <c r="AC1387" s="28"/>
      <c r="AD1387" s="28"/>
      <c r="AE1387" s="73"/>
      <c r="AF1387" s="73"/>
      <c r="AG1387" s="73"/>
      <c r="AH1387" s="73"/>
      <c r="AI1387" s="73"/>
      <c r="AJ1387" s="73"/>
      <c r="AK1387" s="730">
        <f>AK1383+AK1385</f>
        <v>142</v>
      </c>
      <c r="AL1387" s="730"/>
      <c r="AM1387" s="730"/>
      <c r="AN1387" s="19">
        <f>AK1387-AM1356</f>
        <v>142</v>
      </c>
    </row>
    <row r="1388" spans="1:40" hidden="1">
      <c r="A1388" s="3"/>
      <c r="B1388" s="3"/>
      <c r="C1388" s="3"/>
      <c r="D1388" s="3"/>
      <c r="AE1388" s="77"/>
      <c r="AF1388" s="77"/>
      <c r="AG1388" s="77"/>
      <c r="AH1388" s="77"/>
      <c r="AI1388" s="77"/>
      <c r="AJ1388" s="77"/>
    </row>
    <row r="1389" spans="1:40" ht="12.75" hidden="1" customHeight="1">
      <c r="A1389" s="3"/>
      <c r="B1389" s="3"/>
      <c r="C1389" s="3"/>
      <c r="D1389" s="3"/>
      <c r="F1389" s="692" t="s">
        <v>415</v>
      </c>
      <c r="G1389" s="692"/>
      <c r="H1389" s="692"/>
      <c r="I1389" s="692"/>
      <c r="J1389" s="692"/>
      <c r="K1389" s="692"/>
      <c r="L1389" s="692"/>
      <c r="M1389" s="692"/>
      <c r="N1389" s="692"/>
      <c r="O1389" s="692"/>
      <c r="P1389" s="692"/>
      <c r="Q1389" s="692"/>
      <c r="R1389" s="692"/>
      <c r="S1389" s="692"/>
      <c r="T1389" s="692"/>
      <c r="U1389" s="692"/>
      <c r="V1389" s="692"/>
      <c r="W1389" s="692"/>
      <c r="X1389" s="692"/>
      <c r="Y1389" s="692"/>
      <c r="Z1389" s="692"/>
      <c r="AA1389" s="692"/>
      <c r="AB1389" s="692"/>
      <c r="AC1389" s="692"/>
      <c r="AD1389" s="692"/>
      <c r="AE1389" s="692"/>
      <c r="AF1389" s="692"/>
      <c r="AG1389" s="692"/>
      <c r="AH1389" s="692"/>
      <c r="AI1389" s="692"/>
      <c r="AJ1389" s="692"/>
      <c r="AK1389" s="692"/>
      <c r="AL1389" s="692"/>
      <c r="AM1389" s="692"/>
    </row>
    <row r="1390" spans="1:40" ht="12.75" hidden="1" customHeight="1">
      <c r="A1390" s="3"/>
      <c r="B1390" s="3"/>
      <c r="C1390" s="3"/>
      <c r="D1390" s="3"/>
      <c r="F1390" s="710"/>
      <c r="G1390" s="710"/>
      <c r="H1390" s="710"/>
      <c r="I1390" s="710"/>
      <c r="J1390" s="710"/>
      <c r="K1390" s="710"/>
      <c r="L1390" s="710"/>
      <c r="M1390" s="710"/>
      <c r="N1390" s="710"/>
      <c r="O1390" s="710"/>
      <c r="P1390" s="710"/>
      <c r="Q1390" s="710"/>
      <c r="R1390" s="710"/>
      <c r="S1390" s="710"/>
      <c r="T1390" s="710"/>
      <c r="U1390" s="710"/>
      <c r="V1390" s="710"/>
      <c r="W1390" s="710"/>
      <c r="X1390" s="710"/>
      <c r="Y1390" s="710"/>
      <c r="Z1390" s="710"/>
      <c r="AA1390" s="710"/>
      <c r="AB1390" s="710"/>
      <c r="AC1390" s="710"/>
      <c r="AD1390" s="710"/>
      <c r="AE1390" s="710"/>
      <c r="AF1390" s="710"/>
      <c r="AG1390" s="710"/>
      <c r="AH1390" s="710"/>
      <c r="AI1390" s="710"/>
      <c r="AJ1390" s="710"/>
      <c r="AK1390" s="710"/>
      <c r="AL1390" s="710"/>
      <c r="AM1390" s="710"/>
    </row>
    <row r="1391" spans="1:40" ht="12.75" hidden="1" customHeight="1">
      <c r="A1391" s="3"/>
      <c r="B1391" s="3"/>
      <c r="C1391" s="3"/>
      <c r="D1391" s="3"/>
      <c r="F1391" s="15"/>
      <c r="G1391" s="15"/>
      <c r="H1391" s="15"/>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row>
    <row r="1392" spans="1:40" s="231" customFormat="1">
      <c r="A1392" s="1"/>
      <c r="B1392" s="1"/>
      <c r="C1392" s="2"/>
      <c r="D1392" s="1"/>
      <c r="F1392" s="268"/>
      <c r="G1392" s="316"/>
      <c r="H1392" s="316"/>
      <c r="I1392" s="316"/>
      <c r="J1392" s="316"/>
      <c r="K1392" s="316"/>
      <c r="L1392" s="316"/>
      <c r="M1392" s="316"/>
      <c r="N1392" s="316"/>
      <c r="O1392" s="316"/>
      <c r="P1392" s="316"/>
      <c r="Q1392" s="316"/>
      <c r="R1392" s="221"/>
      <c r="S1392" s="221"/>
      <c r="T1392" s="221"/>
      <c r="U1392" s="221"/>
      <c r="V1392" s="241"/>
      <c r="W1392" s="241"/>
      <c r="X1392" s="241"/>
      <c r="Y1392" s="241"/>
      <c r="Z1392" s="241"/>
      <c r="AA1392" s="241"/>
      <c r="AB1392" s="241"/>
      <c r="AC1392" s="241"/>
      <c r="AD1392" s="241"/>
      <c r="AE1392" s="241"/>
      <c r="AF1392" s="235"/>
      <c r="AG1392" s="317"/>
      <c r="AH1392" s="241"/>
      <c r="AI1392" s="241"/>
      <c r="AJ1392" s="241"/>
      <c r="AK1392" s="241"/>
      <c r="AL1392" s="241"/>
      <c r="AM1392" s="241"/>
    </row>
    <row r="1393" spans="2:50" s="231" customFormat="1" ht="15">
      <c r="B1393" s="46"/>
      <c r="C1393" s="46"/>
      <c r="D1393" s="44"/>
      <c r="F1393" s="669" t="s">
        <v>15</v>
      </c>
      <c r="G1393" s="669"/>
      <c r="H1393" s="268" t="s">
        <v>1442</v>
      </c>
      <c r="I1393" s="322"/>
      <c r="J1393" s="260"/>
      <c r="K1393" s="260"/>
      <c r="L1393" s="260"/>
      <c r="M1393" s="260"/>
      <c r="N1393" s="260"/>
      <c r="O1393" s="260"/>
      <c r="P1393" s="260"/>
      <c r="Q1393" s="260"/>
      <c r="R1393" s="260"/>
      <c r="S1393" s="260"/>
      <c r="T1393" s="260"/>
      <c r="U1393" s="260"/>
      <c r="V1393" s="260"/>
      <c r="W1393" s="260"/>
      <c r="X1393" s="260"/>
      <c r="Y1393" s="260"/>
      <c r="Z1393" s="260"/>
      <c r="AA1393" s="260"/>
      <c r="AB1393" s="260"/>
      <c r="AC1393" s="260"/>
      <c r="AD1393" s="260"/>
      <c r="AE1393" s="260"/>
      <c r="AF1393" s="260"/>
      <c r="AG1393" s="260"/>
      <c r="AH1393" s="260"/>
      <c r="AI1393" s="260"/>
      <c r="AJ1393" s="260"/>
      <c r="AK1393" s="260"/>
    </row>
    <row r="1394" spans="2:50" s="231" customFormat="1">
      <c r="B1394" s="46"/>
      <c r="C1394" s="46"/>
      <c r="D1394" s="44"/>
      <c r="F1394" s="234"/>
      <c r="G1394" s="234"/>
      <c r="I1394" s="268"/>
      <c r="J1394" s="268"/>
      <c r="K1394" s="268"/>
      <c r="L1394" s="268"/>
      <c r="M1394" s="268"/>
      <c r="N1394" s="268"/>
      <c r="O1394" s="268"/>
      <c r="P1394" s="268"/>
      <c r="Q1394" s="268"/>
      <c r="R1394" s="268"/>
      <c r="S1394" s="268"/>
      <c r="T1394" s="268"/>
      <c r="U1394" s="268"/>
      <c r="V1394" s="268"/>
      <c r="W1394" s="268"/>
      <c r="X1394" s="268"/>
      <c r="Y1394" s="268"/>
      <c r="Z1394" s="268"/>
      <c r="AA1394" s="268"/>
      <c r="AB1394" s="268"/>
      <c r="AC1394" s="268"/>
      <c r="AD1394" s="268"/>
      <c r="AE1394" s="268"/>
      <c r="AF1394" s="268"/>
      <c r="AG1394" s="268"/>
      <c r="AH1394" s="268"/>
      <c r="AI1394" s="268"/>
      <c r="AJ1394" s="268"/>
      <c r="AK1394" s="268"/>
      <c r="AL1394" s="268"/>
      <c r="AM1394" s="268"/>
    </row>
    <row r="1395" spans="2:50" s="231" customFormat="1" ht="14.1" customHeight="1">
      <c r="B1395" s="46"/>
      <c r="C1395" s="46"/>
      <c r="D1395" s="44"/>
      <c r="F1395" s="569" t="s">
        <v>1654</v>
      </c>
      <c r="G1395" s="569"/>
      <c r="H1395" s="569"/>
      <c r="I1395" s="569"/>
      <c r="J1395" s="569"/>
      <c r="K1395" s="569"/>
      <c r="L1395" s="569"/>
      <c r="M1395" s="569"/>
      <c r="N1395" s="569"/>
      <c r="O1395" s="569"/>
      <c r="P1395" s="569"/>
      <c r="Q1395" s="569"/>
      <c r="R1395" s="569"/>
      <c r="S1395" s="569"/>
      <c r="T1395" s="569"/>
      <c r="U1395" s="569"/>
      <c r="V1395" s="569"/>
      <c r="W1395" s="569"/>
      <c r="X1395" s="569"/>
      <c r="Y1395" s="569"/>
      <c r="Z1395" s="569"/>
      <c r="AA1395" s="569"/>
      <c r="AB1395" s="569"/>
      <c r="AC1395" s="569"/>
      <c r="AD1395" s="569"/>
      <c r="AE1395" s="569"/>
      <c r="AF1395" s="569"/>
      <c r="AG1395" s="569"/>
      <c r="AH1395" s="569"/>
      <c r="AI1395" s="569"/>
      <c r="AJ1395" s="569"/>
      <c r="AK1395" s="569"/>
      <c r="AL1395" s="569"/>
      <c r="AM1395" s="273"/>
    </row>
    <row r="1396" spans="2:50" s="231" customFormat="1">
      <c r="B1396" s="46"/>
      <c r="C1396" s="46"/>
      <c r="D1396" s="44"/>
      <c r="F1396" s="249"/>
      <c r="G1396" s="249"/>
      <c r="H1396" s="249"/>
      <c r="I1396" s="249"/>
      <c r="J1396" s="249"/>
      <c r="K1396" s="249"/>
      <c r="L1396" s="249"/>
      <c r="M1396" s="249"/>
      <c r="N1396" s="249"/>
      <c r="O1396" s="249"/>
      <c r="P1396" s="249"/>
      <c r="Q1396" s="249"/>
      <c r="R1396" s="249"/>
      <c r="S1396" s="249"/>
      <c r="T1396" s="249"/>
      <c r="U1396" s="249"/>
      <c r="V1396" s="249"/>
      <c r="W1396" s="249"/>
      <c r="X1396" s="249"/>
      <c r="Y1396" s="249"/>
      <c r="Z1396" s="249"/>
      <c r="AA1396" s="249"/>
      <c r="AB1396" s="249"/>
      <c r="AC1396" s="249"/>
      <c r="AD1396" s="249"/>
      <c r="AE1396" s="249"/>
      <c r="AF1396" s="249"/>
      <c r="AG1396" s="249"/>
      <c r="AH1396" s="249"/>
      <c r="AI1396" s="249"/>
      <c r="AJ1396" s="249"/>
      <c r="AK1396" s="249"/>
      <c r="AL1396" s="249"/>
      <c r="AM1396" s="273"/>
    </row>
    <row r="1397" spans="2:50" s="231" customFormat="1" ht="10.5" customHeight="1">
      <c r="B1397" s="46"/>
      <c r="C1397" s="46"/>
      <c r="D1397" s="44"/>
      <c r="F1397" s="229"/>
      <c r="G1397" s="229"/>
      <c r="H1397" s="229"/>
      <c r="I1397" s="229"/>
      <c r="J1397" s="229"/>
      <c r="K1397" s="229"/>
      <c r="L1397" s="229"/>
      <c r="M1397" s="229"/>
      <c r="N1397" s="229"/>
      <c r="O1397" s="229"/>
      <c r="P1397" s="229"/>
      <c r="Q1397" s="229"/>
      <c r="R1397" s="229"/>
      <c r="S1397" s="229"/>
      <c r="T1397" s="229"/>
      <c r="U1397" s="229"/>
      <c r="V1397" s="229"/>
      <c r="W1397" s="229"/>
      <c r="X1397" s="229"/>
      <c r="Y1397" s="229"/>
      <c r="Z1397" s="229"/>
      <c r="AA1397" s="43"/>
      <c r="AB1397" s="43"/>
      <c r="AC1397" s="43"/>
      <c r="AD1397" s="43"/>
      <c r="AE1397" s="43"/>
      <c r="AF1397" s="229"/>
      <c r="AG1397" s="229"/>
      <c r="AH1397" s="229"/>
      <c r="AI1397" s="229"/>
      <c r="AJ1397" s="229"/>
      <c r="AK1397" s="229"/>
      <c r="AL1397" s="229"/>
      <c r="AM1397" s="229"/>
    </row>
    <row r="1398" spans="2:50" s="231" customFormat="1">
      <c r="B1398" s="46"/>
      <c r="C1398" s="46"/>
      <c r="D1398" s="46"/>
      <c r="F1398" s="242"/>
      <c r="G1398" s="242"/>
      <c r="H1398" s="242"/>
      <c r="I1398" s="242"/>
      <c r="J1398" s="242"/>
      <c r="K1398" s="242"/>
      <c r="L1398" s="242"/>
      <c r="M1398" s="242"/>
      <c r="N1398" s="242"/>
      <c r="O1398" s="242"/>
      <c r="P1398" s="242"/>
      <c r="Q1398" s="242"/>
      <c r="R1398" s="242"/>
      <c r="S1398" s="242"/>
      <c r="T1398" s="242"/>
      <c r="U1398" s="726">
        <v>2020</v>
      </c>
      <c r="V1398" s="726"/>
      <c r="W1398" s="726"/>
      <c r="X1398" s="726"/>
      <c r="Y1398" s="726"/>
      <c r="Z1398" s="242"/>
      <c r="AA1398" s="726"/>
      <c r="AB1398" s="726"/>
      <c r="AC1398" s="726"/>
      <c r="AD1398" s="726"/>
      <c r="AE1398" s="726"/>
      <c r="AF1398" s="242"/>
      <c r="AL1398" s="242"/>
      <c r="AM1398" s="321"/>
    </row>
    <row r="1399" spans="2:50" s="231" customFormat="1">
      <c r="B1399" s="46"/>
      <c r="C1399" s="46"/>
      <c r="D1399" s="46"/>
      <c r="F1399" s="242"/>
      <c r="G1399" s="242"/>
      <c r="H1399" s="242"/>
      <c r="I1399" s="242"/>
      <c r="J1399" s="242"/>
      <c r="K1399" s="242"/>
      <c r="L1399" s="242"/>
      <c r="M1399" s="242"/>
      <c r="N1399" s="242"/>
      <c r="O1399" s="242"/>
      <c r="P1399" s="242"/>
      <c r="Q1399" s="242"/>
      <c r="R1399" s="242"/>
      <c r="S1399" s="242"/>
      <c r="T1399" s="242"/>
      <c r="U1399" s="726"/>
      <c r="V1399" s="726"/>
      <c r="W1399" s="726"/>
      <c r="X1399" s="726"/>
      <c r="Y1399" s="726"/>
      <c r="Z1399" s="242"/>
      <c r="AA1399" s="726"/>
      <c r="AB1399" s="726"/>
      <c r="AC1399" s="726"/>
      <c r="AD1399" s="726"/>
      <c r="AE1399" s="726"/>
      <c r="AF1399" s="242"/>
      <c r="AL1399" s="242"/>
      <c r="AM1399" s="321"/>
    </row>
    <row r="1400" spans="2:50" s="231" customFormat="1">
      <c r="B1400" s="46"/>
      <c r="C1400" s="46"/>
      <c r="D1400" s="46"/>
      <c r="E1400" s="242"/>
      <c r="F1400" s="600" t="s">
        <v>1409</v>
      </c>
      <c r="G1400" s="600"/>
      <c r="H1400" s="600"/>
      <c r="I1400" s="600"/>
      <c r="J1400" s="600"/>
      <c r="K1400" s="600"/>
      <c r="L1400" s="600"/>
      <c r="M1400" s="600"/>
      <c r="N1400" s="600"/>
      <c r="O1400" s="600"/>
      <c r="P1400" s="600"/>
      <c r="Q1400" s="600"/>
      <c r="R1400" s="267"/>
      <c r="S1400" s="267"/>
      <c r="T1400" s="267"/>
      <c r="U1400" s="717">
        <v>178</v>
      </c>
      <c r="V1400" s="717"/>
      <c r="W1400" s="717"/>
      <c r="X1400" s="717"/>
      <c r="Y1400" s="717"/>
      <c r="Z1400" s="242"/>
      <c r="AA1400" s="566"/>
      <c r="AB1400" s="566"/>
      <c r="AC1400" s="566"/>
      <c r="AD1400" s="566"/>
      <c r="AE1400" s="566"/>
      <c r="AF1400" s="242"/>
      <c r="AL1400" s="242"/>
      <c r="AM1400" s="222"/>
      <c r="AW1400" s="231" t="s">
        <v>416</v>
      </c>
      <c r="AX1400" s="231" t="s">
        <v>417</v>
      </c>
    </row>
    <row r="1401" spans="2:50" s="231" customFormat="1" ht="13.5" thickBot="1">
      <c r="B1401" s="46"/>
      <c r="C1401" s="46"/>
      <c r="D1401" s="46"/>
      <c r="F1401" s="242"/>
      <c r="G1401" s="242"/>
      <c r="H1401" s="242"/>
      <c r="I1401" s="242"/>
      <c r="J1401" s="242"/>
      <c r="K1401" s="242"/>
      <c r="L1401" s="242"/>
      <c r="M1401" s="242"/>
      <c r="N1401" s="242"/>
      <c r="O1401" s="242"/>
      <c r="P1401" s="242"/>
      <c r="Q1401" s="242"/>
      <c r="R1401" s="242"/>
      <c r="S1401" s="242"/>
      <c r="T1401" s="242"/>
      <c r="U1401" s="675">
        <f>SUBTOTAL(9,U1400:Y1400)</f>
        <v>178</v>
      </c>
      <c r="V1401" s="675"/>
      <c r="W1401" s="675"/>
      <c r="X1401" s="675"/>
      <c r="Y1401" s="675"/>
      <c r="Z1401" s="242"/>
      <c r="AA1401" s="729"/>
      <c r="AB1401" s="729"/>
      <c r="AC1401" s="729"/>
      <c r="AD1401" s="729"/>
      <c r="AE1401" s="729"/>
      <c r="AF1401" s="242"/>
      <c r="AL1401" s="318"/>
      <c r="AM1401" s="240"/>
    </row>
    <row r="1402" spans="2:50" s="231" customFormat="1" ht="13.5" thickTop="1">
      <c r="B1402" s="46"/>
      <c r="C1402" s="46"/>
      <c r="D1402" s="46"/>
      <c r="F1402" s="242"/>
      <c r="G1402" s="242"/>
      <c r="H1402" s="242"/>
      <c r="I1402" s="242"/>
      <c r="J1402" s="242"/>
      <c r="K1402" s="242"/>
      <c r="L1402" s="242"/>
      <c r="M1402" s="242"/>
      <c r="N1402" s="242"/>
      <c r="O1402" s="242"/>
      <c r="P1402" s="242"/>
      <c r="Q1402" s="242"/>
      <c r="R1402" s="242"/>
      <c r="S1402" s="242"/>
      <c r="T1402" s="242"/>
      <c r="U1402" s="297"/>
      <c r="V1402" s="297"/>
      <c r="W1402" s="297"/>
      <c r="X1402" s="297"/>
      <c r="Y1402" s="297"/>
      <c r="Z1402" s="242"/>
      <c r="AA1402" s="297"/>
      <c r="AB1402" s="297"/>
      <c r="AC1402" s="297"/>
      <c r="AD1402" s="297"/>
      <c r="AE1402" s="297"/>
      <c r="AF1402" s="242"/>
      <c r="AL1402" s="318"/>
      <c r="AM1402" s="240"/>
    </row>
    <row r="1403" spans="2:50" s="231" customFormat="1">
      <c r="B1403" s="46"/>
      <c r="C1403" s="46"/>
      <c r="D1403" s="46"/>
      <c r="F1403" s="728" t="str">
        <f>(MID(F1393,1,2)+1)&amp;"."</f>
        <v>16.</v>
      </c>
      <c r="G1403" s="728"/>
      <c r="H1403" s="323" t="s">
        <v>1443</v>
      </c>
      <c r="I1403" s="242"/>
      <c r="J1403" s="242"/>
      <c r="K1403" s="242"/>
      <c r="L1403" s="242"/>
      <c r="M1403" s="242"/>
      <c r="N1403" s="242"/>
      <c r="O1403" s="242"/>
      <c r="P1403" s="242"/>
      <c r="Q1403" s="242"/>
      <c r="R1403" s="242"/>
      <c r="S1403" s="242"/>
      <c r="T1403" s="242"/>
      <c r="U1403" s="297"/>
      <c r="V1403" s="297"/>
      <c r="W1403" s="297"/>
      <c r="X1403" s="297"/>
      <c r="Y1403" s="297"/>
      <c r="Z1403" s="242"/>
      <c r="AA1403" s="297"/>
      <c r="AB1403" s="297"/>
      <c r="AC1403" s="297"/>
      <c r="AD1403" s="297"/>
      <c r="AE1403" s="297"/>
      <c r="AF1403" s="242"/>
      <c r="AL1403" s="318"/>
      <c r="AM1403" s="240"/>
    </row>
    <row r="1404" spans="2:50" s="231" customFormat="1">
      <c r="B1404" s="46"/>
      <c r="C1404" s="46"/>
      <c r="D1404" s="46"/>
      <c r="F1404" s="242"/>
      <c r="G1404" s="242"/>
      <c r="H1404" s="242"/>
      <c r="I1404" s="242"/>
      <c r="J1404" s="242"/>
      <c r="K1404" s="242"/>
      <c r="L1404" s="242"/>
      <c r="M1404" s="242"/>
      <c r="N1404" s="242"/>
      <c r="O1404" s="242"/>
      <c r="P1404" s="242"/>
      <c r="Q1404" s="242"/>
      <c r="R1404" s="242"/>
      <c r="S1404" s="242"/>
      <c r="T1404" s="242"/>
      <c r="U1404" s="297"/>
      <c r="V1404" s="297"/>
      <c r="W1404" s="297"/>
      <c r="X1404" s="297"/>
      <c r="Y1404" s="297"/>
      <c r="Z1404" s="242"/>
      <c r="AA1404" s="297"/>
      <c r="AB1404" s="297"/>
      <c r="AC1404" s="297"/>
      <c r="AD1404" s="297"/>
      <c r="AE1404" s="297"/>
      <c r="AF1404" s="242"/>
      <c r="AL1404" s="318"/>
      <c r="AM1404" s="240"/>
    </row>
    <row r="1405" spans="2:50" s="231" customFormat="1">
      <c r="B1405" s="46"/>
      <c r="C1405" s="46"/>
      <c r="D1405" s="46"/>
      <c r="F1405" s="758" t="s">
        <v>1655</v>
      </c>
      <c r="G1405" s="758"/>
      <c r="H1405" s="758"/>
      <c r="I1405" s="758"/>
      <c r="J1405" s="758"/>
      <c r="K1405" s="758"/>
      <c r="L1405" s="758"/>
      <c r="M1405" s="758"/>
      <c r="N1405" s="758"/>
      <c r="O1405" s="758"/>
      <c r="P1405" s="758"/>
      <c r="Q1405" s="758"/>
      <c r="R1405" s="758"/>
      <c r="S1405" s="758"/>
      <c r="T1405" s="758"/>
      <c r="U1405" s="758"/>
      <c r="V1405" s="758"/>
      <c r="W1405" s="758"/>
      <c r="X1405" s="758"/>
      <c r="Y1405" s="758"/>
      <c r="Z1405" s="758"/>
      <c r="AA1405" s="758"/>
      <c r="AB1405" s="758"/>
      <c r="AC1405" s="758"/>
      <c r="AD1405" s="758"/>
      <c r="AE1405" s="758"/>
      <c r="AF1405" s="758"/>
      <c r="AG1405" s="758"/>
      <c r="AH1405" s="758"/>
      <c r="AI1405" s="758"/>
      <c r="AJ1405" s="758"/>
      <c r="AK1405" s="758"/>
      <c r="AL1405" s="758"/>
      <c r="AM1405" s="240"/>
    </row>
    <row r="1406" spans="2:50" s="231" customFormat="1">
      <c r="B1406" s="46"/>
      <c r="C1406" s="46"/>
      <c r="D1406" s="46"/>
      <c r="F1406" s="758"/>
      <c r="G1406" s="758"/>
      <c r="H1406" s="758"/>
      <c r="I1406" s="758"/>
      <c r="J1406" s="758"/>
      <c r="K1406" s="758"/>
      <c r="L1406" s="758"/>
      <c r="M1406" s="758"/>
      <c r="N1406" s="758"/>
      <c r="O1406" s="758"/>
      <c r="P1406" s="758"/>
      <c r="Q1406" s="758"/>
      <c r="R1406" s="758"/>
      <c r="S1406" s="758"/>
      <c r="T1406" s="758"/>
      <c r="U1406" s="758"/>
      <c r="V1406" s="758"/>
      <c r="W1406" s="758"/>
      <c r="X1406" s="758"/>
      <c r="Y1406" s="758"/>
      <c r="Z1406" s="758"/>
      <c r="AA1406" s="758"/>
      <c r="AB1406" s="758"/>
      <c r="AC1406" s="758"/>
      <c r="AD1406" s="758"/>
      <c r="AE1406" s="758"/>
      <c r="AF1406" s="758"/>
      <c r="AG1406" s="758"/>
      <c r="AH1406" s="758"/>
      <c r="AI1406" s="758"/>
      <c r="AJ1406" s="758"/>
      <c r="AK1406" s="758"/>
      <c r="AL1406" s="758"/>
      <c r="AM1406" s="240"/>
    </row>
    <row r="1407" spans="2:50" s="231" customFormat="1">
      <c r="B1407" s="46"/>
      <c r="C1407" s="46"/>
      <c r="D1407" s="46"/>
      <c r="F1407" s="242"/>
      <c r="G1407" s="242"/>
      <c r="H1407" s="242"/>
      <c r="I1407" s="242"/>
      <c r="J1407" s="242"/>
      <c r="K1407" s="242"/>
      <c r="L1407" s="242"/>
      <c r="M1407" s="242"/>
      <c r="N1407" s="242"/>
      <c r="O1407" s="242"/>
      <c r="P1407" s="242"/>
      <c r="Q1407" s="242"/>
      <c r="R1407" s="242"/>
      <c r="S1407" s="242"/>
      <c r="T1407" s="242"/>
      <c r="U1407" s="297"/>
      <c r="V1407" s="297"/>
      <c r="W1407" s="297"/>
      <c r="X1407" s="297"/>
      <c r="Y1407" s="297"/>
      <c r="Z1407" s="242"/>
      <c r="AA1407" s="297"/>
      <c r="AB1407" s="297"/>
      <c r="AC1407" s="297"/>
      <c r="AD1407" s="297"/>
      <c r="AE1407" s="297"/>
      <c r="AF1407" s="242"/>
      <c r="AL1407" s="318"/>
      <c r="AM1407" s="240"/>
    </row>
    <row r="1408" spans="2:50" s="231" customFormat="1">
      <c r="B1408" s="46"/>
      <c r="C1408" s="46"/>
      <c r="D1408" s="46"/>
      <c r="F1408" s="242"/>
      <c r="G1408" s="242"/>
      <c r="H1408" s="242"/>
      <c r="I1408" s="242"/>
      <c r="J1408" s="242"/>
      <c r="K1408" s="242"/>
      <c r="L1408" s="242"/>
      <c r="M1408" s="242"/>
      <c r="N1408" s="242"/>
      <c r="O1408" s="242"/>
      <c r="P1408" s="242"/>
      <c r="Q1408" s="242"/>
      <c r="R1408" s="242"/>
      <c r="S1408" s="242"/>
      <c r="T1408" s="242"/>
      <c r="U1408" s="242"/>
      <c r="V1408" s="242"/>
      <c r="W1408" s="242"/>
      <c r="X1408" s="242"/>
      <c r="Y1408" s="242"/>
      <c r="Z1408" s="242"/>
      <c r="AA1408" s="726" t="str">
        <f>AA1420</f>
        <v>31 грудня 2020  року</v>
      </c>
      <c r="AB1408" s="726"/>
      <c r="AC1408" s="726"/>
      <c r="AD1408" s="726"/>
      <c r="AE1408" s="726"/>
      <c r="AF1408" s="242"/>
      <c r="AG1408" s="726" t="str">
        <f>AG1420</f>
        <v>31 грудня 2019 року</v>
      </c>
      <c r="AH1408" s="726"/>
      <c r="AI1408" s="726"/>
      <c r="AJ1408" s="726"/>
      <c r="AK1408" s="726"/>
      <c r="AL1408" s="318"/>
      <c r="AM1408" s="240"/>
    </row>
    <row r="1409" spans="1:52" s="231" customFormat="1">
      <c r="B1409" s="46"/>
      <c r="C1409" s="46"/>
      <c r="D1409" s="46"/>
      <c r="F1409" s="242"/>
      <c r="G1409" s="242"/>
      <c r="H1409" s="242"/>
      <c r="I1409" s="242"/>
      <c r="J1409" s="242"/>
      <c r="K1409" s="242"/>
      <c r="L1409" s="242"/>
      <c r="M1409" s="242"/>
      <c r="N1409" s="242"/>
      <c r="O1409" s="242"/>
      <c r="P1409" s="242"/>
      <c r="Q1409" s="242"/>
      <c r="R1409" s="242"/>
      <c r="S1409" s="242"/>
      <c r="T1409" s="242"/>
      <c r="U1409" s="242"/>
      <c r="V1409" s="242"/>
      <c r="W1409" s="242"/>
      <c r="X1409" s="242"/>
      <c r="Y1409" s="242"/>
      <c r="Z1409" s="242"/>
      <c r="AA1409" s="727"/>
      <c r="AB1409" s="727"/>
      <c r="AC1409" s="727"/>
      <c r="AD1409" s="727"/>
      <c r="AE1409" s="727"/>
      <c r="AF1409" s="242"/>
      <c r="AG1409" s="727"/>
      <c r="AH1409" s="727"/>
      <c r="AI1409" s="727"/>
      <c r="AJ1409" s="727"/>
      <c r="AK1409" s="727"/>
      <c r="AL1409" s="318"/>
      <c r="AM1409" s="240"/>
    </row>
    <row r="1410" spans="1:52" s="231" customFormat="1">
      <c r="B1410" s="46"/>
      <c r="C1410" s="46"/>
      <c r="D1410" s="46"/>
      <c r="F1410" s="684" t="s">
        <v>1444</v>
      </c>
      <c r="G1410" s="684"/>
      <c r="H1410" s="684"/>
      <c r="I1410" s="684"/>
      <c r="J1410" s="684"/>
      <c r="K1410" s="684"/>
      <c r="L1410" s="684"/>
      <c r="M1410" s="684"/>
      <c r="N1410" s="684"/>
      <c r="O1410" s="684"/>
      <c r="P1410" s="684"/>
      <c r="Q1410" s="684"/>
      <c r="R1410" s="684"/>
      <c r="S1410" s="684"/>
      <c r="T1410" s="684"/>
      <c r="U1410" s="684"/>
      <c r="V1410" s="684"/>
      <c r="W1410" s="684"/>
      <c r="X1410" s="242"/>
      <c r="Y1410" s="242"/>
      <c r="Z1410" s="242"/>
      <c r="AA1410" s="566">
        <v>92</v>
      </c>
      <c r="AB1410" s="566"/>
      <c r="AC1410" s="566"/>
      <c r="AD1410" s="566"/>
      <c r="AE1410" s="566"/>
      <c r="AF1410" s="242"/>
      <c r="AG1410" s="566">
        <f>121</f>
        <v>121</v>
      </c>
      <c r="AH1410" s="566"/>
      <c r="AI1410" s="566"/>
      <c r="AJ1410" s="566"/>
      <c r="AK1410" s="566"/>
      <c r="AL1410" s="318"/>
      <c r="AM1410" s="240"/>
    </row>
    <row r="1411" spans="1:52" s="231" customFormat="1">
      <c r="B1411" s="46"/>
      <c r="C1411" s="46"/>
      <c r="D1411" s="46"/>
      <c r="F1411" s="684" t="s">
        <v>80</v>
      </c>
      <c r="G1411" s="684"/>
      <c r="H1411" s="684"/>
      <c r="I1411" s="684"/>
      <c r="J1411" s="684"/>
      <c r="K1411" s="684"/>
      <c r="L1411" s="684"/>
      <c r="M1411" s="684"/>
      <c r="N1411" s="684"/>
      <c r="O1411" s="684"/>
      <c r="P1411" s="684"/>
      <c r="Q1411" s="684"/>
      <c r="R1411" s="684"/>
      <c r="S1411" s="684"/>
      <c r="T1411" s="684"/>
      <c r="U1411" s="684"/>
      <c r="V1411" s="684"/>
      <c r="W1411" s="684"/>
      <c r="X1411" s="242"/>
      <c r="Y1411" s="242"/>
      <c r="Z1411" s="242"/>
      <c r="AA1411" s="566">
        <v>508</v>
      </c>
      <c r="AB1411" s="566"/>
      <c r="AC1411" s="566"/>
      <c r="AD1411" s="566"/>
      <c r="AE1411" s="566"/>
      <c r="AF1411" s="242"/>
      <c r="AG1411" s="566">
        <f>1002</f>
        <v>1002</v>
      </c>
      <c r="AH1411" s="566"/>
      <c r="AI1411" s="566"/>
      <c r="AJ1411" s="566"/>
      <c r="AK1411" s="566"/>
      <c r="AL1411" s="318"/>
      <c r="AM1411" s="240"/>
    </row>
    <row r="1412" spans="1:52" s="231" customFormat="1" ht="13.5" thickBot="1">
      <c r="B1412" s="46"/>
      <c r="C1412" s="46"/>
      <c r="D1412" s="46"/>
      <c r="F1412" s="242"/>
      <c r="G1412" s="242"/>
      <c r="H1412" s="242"/>
      <c r="I1412" s="242"/>
      <c r="J1412" s="242"/>
      <c r="K1412" s="242"/>
      <c r="L1412" s="242"/>
      <c r="M1412" s="242"/>
      <c r="N1412" s="242"/>
      <c r="O1412" s="242"/>
      <c r="P1412" s="242"/>
      <c r="Q1412" s="242"/>
      <c r="R1412" s="242"/>
      <c r="S1412" s="242"/>
      <c r="T1412" s="242"/>
      <c r="U1412" s="242"/>
      <c r="V1412" s="242"/>
      <c r="W1412" s="242"/>
      <c r="X1412" s="242"/>
      <c r="Y1412" s="242"/>
      <c r="Z1412" s="242"/>
      <c r="AA1412" s="675">
        <f>SUBTOTAL(9,AA1410:AE1411)</f>
        <v>600</v>
      </c>
      <c r="AB1412" s="675"/>
      <c r="AC1412" s="675"/>
      <c r="AD1412" s="675"/>
      <c r="AE1412" s="675"/>
      <c r="AF1412" s="242"/>
      <c r="AG1412" s="675">
        <f>SUBTOTAL(9,AG1410:AK1411)</f>
        <v>1123</v>
      </c>
      <c r="AH1412" s="675"/>
      <c r="AI1412" s="675"/>
      <c r="AJ1412" s="675"/>
      <c r="AK1412" s="675"/>
      <c r="AL1412" s="318"/>
      <c r="AM1412" s="240"/>
    </row>
    <row r="1413" spans="1:52" s="231" customFormat="1" ht="13.5" thickTop="1">
      <c r="B1413" s="46"/>
      <c r="C1413" s="46"/>
      <c r="D1413" s="46"/>
      <c r="F1413" s="242"/>
      <c r="G1413" s="242"/>
      <c r="H1413" s="242"/>
      <c r="I1413" s="242"/>
      <c r="J1413" s="242"/>
      <c r="K1413" s="242"/>
      <c r="L1413" s="242"/>
      <c r="M1413" s="242"/>
      <c r="N1413" s="242"/>
      <c r="O1413" s="242"/>
      <c r="P1413" s="242"/>
      <c r="Q1413" s="242"/>
      <c r="R1413" s="242"/>
      <c r="S1413" s="242"/>
      <c r="T1413" s="242"/>
      <c r="U1413" s="297"/>
      <c r="V1413" s="297"/>
      <c r="W1413" s="297"/>
      <c r="X1413" s="297"/>
      <c r="Y1413" s="297"/>
      <c r="Z1413" s="242"/>
      <c r="AA1413" s="297"/>
      <c r="AB1413" s="297"/>
      <c r="AC1413" s="297"/>
      <c r="AD1413" s="297"/>
      <c r="AE1413" s="297"/>
      <c r="AF1413" s="242"/>
      <c r="AL1413" s="318"/>
      <c r="AM1413" s="240"/>
    </row>
    <row r="1414" spans="1:52" s="231" customFormat="1">
      <c r="B1414" s="3"/>
      <c r="C1414" s="3"/>
      <c r="D1414" s="3"/>
      <c r="F1414" s="242"/>
      <c r="G1414" s="242"/>
      <c r="H1414" s="242"/>
      <c r="I1414" s="242"/>
      <c r="J1414" s="242"/>
      <c r="K1414" s="242"/>
      <c r="L1414" s="242"/>
      <c r="M1414" s="242"/>
      <c r="N1414" s="242"/>
      <c r="O1414" s="242"/>
      <c r="P1414" s="242"/>
      <c r="Q1414" s="242"/>
      <c r="R1414" s="242"/>
      <c r="S1414" s="242"/>
      <c r="T1414" s="242"/>
      <c r="U1414" s="242"/>
      <c r="V1414" s="242"/>
      <c r="W1414" s="242"/>
      <c r="X1414" s="242"/>
      <c r="Y1414" s="242"/>
      <c r="Z1414" s="242"/>
      <c r="AA1414" s="242"/>
      <c r="AB1414" s="242"/>
      <c r="AC1414" s="242"/>
      <c r="AD1414" s="242"/>
      <c r="AE1414" s="242"/>
      <c r="AF1414" s="242"/>
      <c r="AG1414" s="242"/>
      <c r="AH1414" s="242"/>
      <c r="AI1414" s="242"/>
      <c r="AJ1414" s="242"/>
      <c r="AK1414" s="242"/>
      <c r="AL1414" s="242"/>
      <c r="AM1414" s="242"/>
    </row>
    <row r="1415" spans="1:52" s="231" customFormat="1">
      <c r="B1415" s="46"/>
      <c r="C1415" s="46"/>
      <c r="D1415" s="46"/>
      <c r="F1415" s="759">
        <v>17</v>
      </c>
      <c r="G1415" s="759"/>
      <c r="H1415" s="340" t="s">
        <v>1445</v>
      </c>
      <c r="I1415" s="340"/>
      <c r="J1415" s="340"/>
      <c r="K1415" s="340"/>
      <c r="L1415" s="340"/>
      <c r="M1415" s="340"/>
      <c r="N1415" s="340"/>
      <c r="O1415" s="340"/>
      <c r="P1415" s="340"/>
      <c r="Q1415" s="340"/>
      <c r="R1415" s="340"/>
      <c r="S1415" s="340"/>
      <c r="T1415" s="340"/>
      <c r="U1415" s="340"/>
      <c r="V1415" s="340"/>
      <c r="W1415" s="340"/>
      <c r="X1415" s="340"/>
      <c r="Y1415" s="340"/>
      <c r="Z1415" s="340"/>
      <c r="AA1415" s="340"/>
      <c r="AB1415" s="340"/>
      <c r="AC1415" s="340"/>
      <c r="AD1415" s="340"/>
      <c r="AE1415" s="340"/>
      <c r="AF1415" s="340"/>
      <c r="AG1415" s="340"/>
      <c r="AH1415" s="340"/>
      <c r="AI1415" s="340"/>
      <c r="AJ1415" s="340"/>
      <c r="AK1415" s="340"/>
      <c r="AL1415" s="340"/>
      <c r="AM1415" s="340"/>
    </row>
    <row r="1416" spans="1:52" s="231" customFormat="1">
      <c r="A1416" s="1"/>
      <c r="B1416" s="44"/>
      <c r="C1416" s="45"/>
      <c r="D1416" s="44"/>
      <c r="F1416" s="242"/>
      <c r="G1416" s="242"/>
      <c r="H1416" s="242"/>
      <c r="I1416" s="242"/>
      <c r="J1416" s="242"/>
      <c r="K1416" s="242"/>
      <c r="L1416" s="242"/>
      <c r="M1416" s="242"/>
      <c r="N1416" s="242"/>
      <c r="O1416" s="242"/>
      <c r="P1416" s="242"/>
      <c r="Q1416" s="242"/>
      <c r="R1416" s="242"/>
      <c r="S1416" s="242"/>
      <c r="T1416" s="242"/>
      <c r="U1416" s="242"/>
      <c r="V1416" s="242"/>
      <c r="W1416" s="242"/>
      <c r="X1416" s="242"/>
      <c r="Y1416" s="242"/>
      <c r="Z1416" s="242"/>
      <c r="AA1416" s="242"/>
      <c r="AB1416" s="242"/>
      <c r="AC1416" s="242"/>
      <c r="AD1416" s="242"/>
      <c r="AE1416" s="242"/>
      <c r="AF1416" s="242"/>
      <c r="AG1416" s="242"/>
      <c r="AH1416" s="242"/>
      <c r="AI1416" s="242"/>
      <c r="AJ1416" s="242"/>
      <c r="AK1416" s="242"/>
      <c r="AL1416" s="242"/>
      <c r="AM1416" s="242"/>
    </row>
    <row r="1417" spans="1:52" s="231" customFormat="1" ht="12.75" customHeight="1">
      <c r="B1417" s="46"/>
      <c r="C1417" s="46"/>
      <c r="D1417" s="46"/>
      <c r="F1417" s="569" t="s">
        <v>1656</v>
      </c>
      <c r="G1417" s="569"/>
      <c r="H1417" s="569"/>
      <c r="I1417" s="569"/>
      <c r="J1417" s="569"/>
      <c r="K1417" s="569"/>
      <c r="L1417" s="569"/>
      <c r="M1417" s="569"/>
      <c r="N1417" s="569"/>
      <c r="O1417" s="569"/>
      <c r="P1417" s="569"/>
      <c r="Q1417" s="569"/>
      <c r="R1417" s="569"/>
      <c r="S1417" s="569"/>
      <c r="T1417" s="569"/>
      <c r="U1417" s="569"/>
      <c r="V1417" s="569"/>
      <c r="W1417" s="569"/>
      <c r="X1417" s="569"/>
      <c r="Y1417" s="569"/>
      <c r="Z1417" s="569"/>
      <c r="AA1417" s="569"/>
      <c r="AB1417" s="569"/>
      <c r="AC1417" s="569"/>
      <c r="AD1417" s="569"/>
      <c r="AE1417" s="569"/>
      <c r="AF1417" s="569"/>
      <c r="AG1417" s="569"/>
      <c r="AH1417" s="569"/>
      <c r="AI1417" s="569"/>
      <c r="AJ1417" s="569"/>
      <c r="AK1417" s="569"/>
      <c r="AL1417" s="569"/>
      <c r="AM1417" s="273"/>
    </row>
    <row r="1418" spans="1:52" s="231" customFormat="1">
      <c r="B1418" s="46"/>
      <c r="C1418" s="46"/>
      <c r="D1418" s="46"/>
      <c r="F1418" s="569"/>
      <c r="G1418" s="569"/>
      <c r="H1418" s="569"/>
      <c r="I1418" s="569"/>
      <c r="J1418" s="569"/>
      <c r="K1418" s="569"/>
      <c r="L1418" s="569"/>
      <c r="M1418" s="569"/>
      <c r="N1418" s="569"/>
      <c r="O1418" s="569"/>
      <c r="P1418" s="569"/>
      <c r="Q1418" s="569"/>
      <c r="R1418" s="569"/>
      <c r="S1418" s="569"/>
      <c r="T1418" s="569"/>
      <c r="U1418" s="569"/>
      <c r="V1418" s="569"/>
      <c r="W1418" s="569"/>
      <c r="X1418" s="569"/>
      <c r="Y1418" s="569"/>
      <c r="Z1418" s="569"/>
      <c r="AA1418" s="569"/>
      <c r="AB1418" s="569"/>
      <c r="AC1418" s="569"/>
      <c r="AD1418" s="569"/>
      <c r="AE1418" s="569"/>
      <c r="AF1418" s="569"/>
      <c r="AG1418" s="569"/>
      <c r="AH1418" s="569"/>
      <c r="AI1418" s="569"/>
      <c r="AJ1418" s="569"/>
      <c r="AK1418" s="569"/>
      <c r="AL1418" s="569"/>
      <c r="AM1418" s="273"/>
    </row>
    <row r="1419" spans="1:52" s="231" customFormat="1">
      <c r="B1419" s="46"/>
      <c r="C1419" s="46"/>
      <c r="D1419" s="46"/>
      <c r="F1419" s="270"/>
      <c r="G1419" s="270"/>
      <c r="H1419" s="270"/>
      <c r="I1419" s="270"/>
      <c r="J1419" s="270"/>
      <c r="K1419" s="270"/>
      <c r="L1419" s="270"/>
      <c r="M1419" s="270"/>
      <c r="N1419" s="270"/>
      <c r="O1419" s="270"/>
      <c r="P1419" s="270"/>
      <c r="Q1419" s="270"/>
      <c r="R1419" s="270"/>
      <c r="S1419" s="270"/>
      <c r="T1419" s="270"/>
      <c r="U1419" s="270"/>
      <c r="V1419" s="270"/>
      <c r="W1419" s="270"/>
      <c r="X1419" s="270"/>
      <c r="Y1419" s="270"/>
      <c r="Z1419" s="270"/>
      <c r="AA1419" s="319"/>
      <c r="AB1419" s="319"/>
      <c r="AC1419" s="319"/>
      <c r="AD1419" s="319"/>
      <c r="AE1419" s="319"/>
      <c r="AF1419" s="270"/>
      <c r="AG1419" s="270"/>
      <c r="AH1419" s="270"/>
      <c r="AI1419" s="270"/>
      <c r="AJ1419" s="270"/>
      <c r="AK1419" s="270"/>
      <c r="AL1419" s="270"/>
      <c r="AM1419" s="270"/>
    </row>
    <row r="1420" spans="1:52" s="231" customFormat="1">
      <c r="B1420" s="46"/>
      <c r="C1420" s="46"/>
      <c r="D1420" s="46"/>
      <c r="F1420" s="242"/>
      <c r="G1420" s="242"/>
      <c r="H1420" s="242"/>
      <c r="I1420" s="242"/>
      <c r="J1420" s="242"/>
      <c r="K1420" s="242"/>
      <c r="L1420" s="242"/>
      <c r="M1420" s="242"/>
      <c r="N1420" s="242"/>
      <c r="O1420" s="242"/>
      <c r="P1420" s="242"/>
      <c r="Q1420" s="242"/>
      <c r="R1420" s="242"/>
      <c r="S1420" s="242"/>
      <c r="T1420" s="242"/>
      <c r="U1420" s="242"/>
      <c r="V1420" s="242"/>
      <c r="W1420" s="242"/>
      <c r="X1420" s="242"/>
      <c r="Y1420" s="242"/>
      <c r="Z1420" s="242"/>
      <c r="AA1420" s="726" t="str">
        <f>AA211</f>
        <v>31 грудня 2020  року</v>
      </c>
      <c r="AB1420" s="726"/>
      <c r="AC1420" s="726"/>
      <c r="AD1420" s="726"/>
      <c r="AE1420" s="726"/>
      <c r="AF1420" s="242"/>
      <c r="AG1420" s="726" t="str">
        <f>AG211</f>
        <v>31 грудня 2019 року</v>
      </c>
      <c r="AH1420" s="726"/>
      <c r="AI1420" s="726"/>
      <c r="AJ1420" s="726"/>
      <c r="AK1420" s="726"/>
      <c r="AL1420" s="242"/>
      <c r="AM1420" s="321"/>
    </row>
    <row r="1421" spans="1:52" s="231" customFormat="1">
      <c r="B1421" s="46"/>
      <c r="C1421" s="46"/>
      <c r="D1421" s="46"/>
      <c r="F1421" s="242"/>
      <c r="G1421" s="242"/>
      <c r="H1421" s="242"/>
      <c r="I1421" s="242"/>
      <c r="J1421" s="242"/>
      <c r="K1421" s="242"/>
      <c r="L1421" s="242"/>
      <c r="M1421" s="242"/>
      <c r="N1421" s="242"/>
      <c r="O1421" s="242"/>
      <c r="P1421" s="242"/>
      <c r="Q1421" s="242"/>
      <c r="R1421" s="242"/>
      <c r="S1421" s="242"/>
      <c r="T1421" s="242"/>
      <c r="U1421" s="242"/>
      <c r="V1421" s="242"/>
      <c r="W1421" s="242"/>
      <c r="X1421" s="242"/>
      <c r="Y1421" s="242"/>
      <c r="Z1421" s="242"/>
      <c r="AA1421" s="727"/>
      <c r="AB1421" s="727"/>
      <c r="AC1421" s="727"/>
      <c r="AD1421" s="727"/>
      <c r="AE1421" s="727"/>
      <c r="AF1421" s="242"/>
      <c r="AG1421" s="727"/>
      <c r="AH1421" s="727"/>
      <c r="AI1421" s="727"/>
      <c r="AJ1421" s="727"/>
      <c r="AK1421" s="727"/>
      <c r="AL1421" s="242"/>
      <c r="AM1421" s="321"/>
    </row>
    <row r="1422" spans="1:52" s="231" customFormat="1">
      <c r="B1422" s="46"/>
      <c r="C1422" s="46"/>
      <c r="D1422" s="46"/>
      <c r="F1422" s="684" t="s">
        <v>418</v>
      </c>
      <c r="G1422" s="684"/>
      <c r="H1422" s="684"/>
      <c r="I1422" s="684"/>
      <c r="J1422" s="684"/>
      <c r="K1422" s="684"/>
      <c r="L1422" s="684"/>
      <c r="M1422" s="684"/>
      <c r="N1422" s="684"/>
      <c r="O1422" s="684"/>
      <c r="P1422" s="684"/>
      <c r="Q1422" s="684"/>
      <c r="R1422" s="684"/>
      <c r="S1422" s="684"/>
      <c r="T1422" s="684"/>
      <c r="U1422" s="684"/>
      <c r="V1422" s="684"/>
      <c r="W1422" s="684"/>
      <c r="X1422" s="242"/>
      <c r="Y1422" s="242"/>
      <c r="Z1422" s="242"/>
      <c r="AA1422" s="566">
        <v>2160</v>
      </c>
      <c r="AB1422" s="566"/>
      <c r="AC1422" s="566"/>
      <c r="AD1422" s="566"/>
      <c r="AE1422" s="566"/>
      <c r="AF1422" s="242"/>
      <c r="AG1422" s="566">
        <f>1326</f>
        <v>1326</v>
      </c>
      <c r="AH1422" s="566"/>
      <c r="AI1422" s="566"/>
      <c r="AJ1422" s="566"/>
      <c r="AK1422" s="566"/>
      <c r="AL1422" s="242"/>
      <c r="AM1422" s="222"/>
      <c r="AQ1422" s="231" t="s">
        <v>87</v>
      </c>
      <c r="AW1422" s="231" t="s">
        <v>419</v>
      </c>
      <c r="AX1422" s="231" t="s">
        <v>420</v>
      </c>
      <c r="AY1422" s="231" t="s">
        <v>421</v>
      </c>
      <c r="AZ1422" s="231" t="s">
        <v>422</v>
      </c>
    </row>
    <row r="1423" spans="1:52" s="231" customFormat="1" ht="13.5" thickBot="1">
      <c r="B1423" s="46"/>
      <c r="C1423" s="46"/>
      <c r="D1423" s="44"/>
      <c r="F1423" s="242"/>
      <c r="G1423" s="242"/>
      <c r="H1423" s="242"/>
      <c r="I1423" s="242"/>
      <c r="J1423" s="242"/>
      <c r="K1423" s="242"/>
      <c r="L1423" s="242"/>
      <c r="M1423" s="242"/>
      <c r="N1423" s="242"/>
      <c r="O1423" s="242"/>
      <c r="P1423" s="242"/>
      <c r="Q1423" s="242"/>
      <c r="R1423" s="242"/>
      <c r="S1423" s="242"/>
      <c r="T1423" s="242"/>
      <c r="U1423" s="242"/>
      <c r="V1423" s="242"/>
      <c r="W1423" s="242"/>
      <c r="X1423" s="242"/>
      <c r="Y1423" s="242"/>
      <c r="Z1423" s="242"/>
      <c r="AA1423" s="675">
        <f>SUBTOTAL(9,AA1422:AE1422)</f>
        <v>2160</v>
      </c>
      <c r="AB1423" s="675"/>
      <c r="AC1423" s="675"/>
      <c r="AD1423" s="675"/>
      <c r="AE1423" s="675"/>
      <c r="AF1423" s="242"/>
      <c r="AG1423" s="675">
        <f>SUBTOTAL(9,AG1422:AK1422)</f>
        <v>1326</v>
      </c>
      <c r="AH1423" s="675"/>
      <c r="AI1423" s="675"/>
      <c r="AJ1423" s="675"/>
      <c r="AK1423" s="675"/>
      <c r="AL1423" s="318"/>
      <c r="AM1423" s="240"/>
    </row>
    <row r="1424" spans="1:52" s="231" customFormat="1" ht="13.5" thickTop="1">
      <c r="B1424" s="3"/>
      <c r="C1424" s="3"/>
      <c r="D1424" s="1"/>
      <c r="F1424" s="242"/>
      <c r="G1424" s="242"/>
      <c r="H1424" s="242"/>
      <c r="I1424" s="242"/>
      <c r="J1424" s="242"/>
      <c r="K1424" s="242"/>
      <c r="L1424" s="242"/>
      <c r="M1424" s="242"/>
      <c r="N1424" s="242"/>
      <c r="O1424" s="242"/>
      <c r="P1424" s="242"/>
      <c r="Q1424" s="242"/>
      <c r="R1424" s="242"/>
      <c r="S1424" s="242"/>
      <c r="T1424" s="242"/>
      <c r="U1424" s="242"/>
      <c r="V1424" s="242"/>
      <c r="W1424" s="242"/>
      <c r="X1424" s="242"/>
      <c r="Y1424" s="242"/>
      <c r="Z1424" s="242"/>
      <c r="AA1424" s="240"/>
      <c r="AB1424" s="240"/>
      <c r="AC1424" s="240"/>
      <c r="AD1424" s="240"/>
      <c r="AE1424" s="240"/>
      <c r="AF1424" s="242"/>
      <c r="AG1424" s="297"/>
      <c r="AH1424" s="297"/>
      <c r="AI1424" s="297"/>
      <c r="AJ1424" s="297"/>
      <c r="AK1424" s="297"/>
      <c r="AL1424" s="318"/>
      <c r="AM1424" s="297"/>
    </row>
    <row r="1425" spans="2:39" s="231" customFormat="1">
      <c r="B1425" s="3"/>
      <c r="C1425" s="3"/>
      <c r="D1425" s="1"/>
      <c r="AA1425" s="121"/>
      <c r="AB1425" s="121"/>
      <c r="AC1425" s="121"/>
      <c r="AD1425" s="121"/>
      <c r="AE1425" s="121"/>
      <c r="AG1425" s="294"/>
      <c r="AH1425" s="294"/>
      <c r="AI1425" s="320"/>
      <c r="AJ1425" s="294"/>
      <c r="AK1425" s="294"/>
      <c r="AL1425" s="72"/>
      <c r="AM1425" s="294"/>
    </row>
    <row r="1426" spans="2:39" s="231" customFormat="1">
      <c r="B1426" s="3"/>
      <c r="C1426" s="3"/>
      <c r="D1426" s="1"/>
      <c r="E1426" s="18"/>
      <c r="F1426" s="669">
        <v>18</v>
      </c>
      <c r="G1426" s="669"/>
      <c r="H1426" s="268" t="s">
        <v>423</v>
      </c>
      <c r="I1426" s="268"/>
      <c r="J1426" s="268"/>
      <c r="K1426" s="268"/>
      <c r="L1426" s="268"/>
      <c r="M1426" s="268"/>
      <c r="N1426" s="268"/>
      <c r="O1426" s="268"/>
      <c r="P1426" s="268"/>
      <c r="Q1426" s="268"/>
      <c r="R1426" s="268"/>
      <c r="S1426" s="268"/>
      <c r="T1426" s="268"/>
      <c r="U1426" s="268"/>
      <c r="V1426" s="268"/>
      <c r="W1426" s="268"/>
      <c r="X1426" s="268"/>
      <c r="Y1426" s="268"/>
      <c r="Z1426" s="268"/>
      <c r="AA1426" s="268"/>
      <c r="AB1426" s="268"/>
      <c r="AC1426" s="268"/>
      <c r="AD1426" s="268"/>
      <c r="AE1426" s="268"/>
      <c r="AF1426" s="268"/>
      <c r="AG1426" s="268"/>
      <c r="AH1426" s="268"/>
      <c r="AI1426" s="268"/>
      <c r="AJ1426" s="268"/>
      <c r="AK1426" s="268"/>
      <c r="AL1426" s="268"/>
      <c r="AM1426" s="268"/>
    </row>
    <row r="1427" spans="2:39" s="231" customFormat="1">
      <c r="B1427" s="3"/>
      <c r="C1427" s="3"/>
      <c r="D1427" s="1"/>
      <c r="E1427" s="18"/>
    </row>
    <row r="1428" spans="2:39" s="231" customFormat="1">
      <c r="B1428" s="3"/>
      <c r="C1428" s="3"/>
      <c r="D1428" s="1"/>
      <c r="E1428" s="18"/>
      <c r="F1428" s="268" t="s">
        <v>424</v>
      </c>
      <c r="G1428" s="268"/>
      <c r="H1428" s="268"/>
      <c r="I1428" s="268"/>
      <c r="J1428" s="268"/>
      <c r="K1428" s="268"/>
      <c r="L1428" s="268"/>
      <c r="M1428" s="268"/>
      <c r="N1428" s="268"/>
      <c r="O1428" s="268"/>
      <c r="P1428" s="268"/>
      <c r="Q1428" s="268"/>
      <c r="R1428" s="268"/>
      <c r="S1428" s="268"/>
      <c r="T1428" s="268"/>
      <c r="U1428" s="268"/>
      <c r="V1428" s="268"/>
      <c r="W1428" s="268"/>
      <c r="X1428" s="268"/>
      <c r="Y1428" s="268"/>
      <c r="Z1428" s="268"/>
      <c r="AA1428" s="268"/>
      <c r="AB1428" s="268"/>
      <c r="AC1428" s="268"/>
      <c r="AD1428" s="268"/>
      <c r="AE1428" s="268"/>
      <c r="AF1428" s="268"/>
      <c r="AG1428" s="268"/>
      <c r="AH1428" s="268"/>
      <c r="AI1428" s="268"/>
      <c r="AJ1428" s="268"/>
      <c r="AK1428" s="268"/>
      <c r="AL1428" s="268"/>
      <c r="AM1428" s="268"/>
    </row>
    <row r="1429" spans="2:39" s="231" customFormat="1" ht="14.1" customHeight="1">
      <c r="B1429" s="3"/>
      <c r="C1429" s="3"/>
      <c r="D1429" s="1"/>
      <c r="E1429" s="18"/>
      <c r="F1429" s="569" t="s">
        <v>425</v>
      </c>
      <c r="G1429" s="569"/>
      <c r="H1429" s="569"/>
      <c r="I1429" s="569"/>
      <c r="J1429" s="569"/>
      <c r="K1429" s="569"/>
      <c r="L1429" s="569"/>
      <c r="M1429" s="569"/>
      <c r="N1429" s="569"/>
      <c r="O1429" s="569"/>
      <c r="P1429" s="569"/>
      <c r="Q1429" s="569"/>
      <c r="R1429" s="569"/>
      <c r="S1429" s="569"/>
      <c r="T1429" s="569"/>
      <c r="U1429" s="569"/>
      <c r="V1429" s="569"/>
      <c r="W1429" s="569"/>
      <c r="X1429" s="569"/>
      <c r="Y1429" s="569"/>
      <c r="Z1429" s="569"/>
      <c r="AA1429" s="569"/>
      <c r="AB1429" s="569"/>
      <c r="AC1429" s="569"/>
      <c r="AD1429" s="569"/>
      <c r="AE1429" s="569"/>
      <c r="AF1429" s="569"/>
      <c r="AG1429" s="569"/>
      <c r="AH1429" s="569"/>
      <c r="AI1429" s="569"/>
      <c r="AJ1429" s="569"/>
      <c r="AK1429" s="569"/>
      <c r="AL1429" s="569"/>
      <c r="AM1429" s="273"/>
    </row>
    <row r="1430" spans="2:39" s="231" customFormat="1">
      <c r="B1430" s="3"/>
      <c r="C1430" s="3"/>
      <c r="D1430" s="1"/>
      <c r="E1430" s="18"/>
      <c r="F1430" s="569"/>
      <c r="G1430" s="569"/>
      <c r="H1430" s="569"/>
      <c r="I1430" s="569"/>
      <c r="J1430" s="569"/>
      <c r="K1430" s="569"/>
      <c r="L1430" s="569"/>
      <c r="M1430" s="569"/>
      <c r="N1430" s="569"/>
      <c r="O1430" s="569"/>
      <c r="P1430" s="569"/>
      <c r="Q1430" s="569"/>
      <c r="R1430" s="569"/>
      <c r="S1430" s="569"/>
      <c r="T1430" s="569"/>
      <c r="U1430" s="569"/>
      <c r="V1430" s="569"/>
      <c r="W1430" s="569"/>
      <c r="X1430" s="569"/>
      <c r="Y1430" s="569"/>
      <c r="Z1430" s="569"/>
      <c r="AA1430" s="569"/>
      <c r="AB1430" s="569"/>
      <c r="AC1430" s="569"/>
      <c r="AD1430" s="569"/>
      <c r="AE1430" s="569"/>
      <c r="AF1430" s="569"/>
      <c r="AG1430" s="569"/>
      <c r="AH1430" s="569"/>
      <c r="AI1430" s="569"/>
      <c r="AJ1430" s="569"/>
      <c r="AK1430" s="569"/>
      <c r="AL1430" s="569"/>
      <c r="AM1430" s="273"/>
    </row>
    <row r="1431" spans="2:39" s="231" customFormat="1">
      <c r="B1431" s="3"/>
      <c r="C1431" s="3"/>
      <c r="D1431" s="79"/>
      <c r="E1431" s="18"/>
      <c r="F1431" s="569"/>
      <c r="G1431" s="569"/>
      <c r="H1431" s="569"/>
      <c r="I1431" s="569"/>
      <c r="J1431" s="569"/>
      <c r="K1431" s="569"/>
      <c r="L1431" s="569"/>
      <c r="M1431" s="569"/>
      <c r="N1431" s="569"/>
      <c r="O1431" s="569"/>
      <c r="P1431" s="569"/>
      <c r="Q1431" s="569"/>
      <c r="R1431" s="569"/>
      <c r="S1431" s="569"/>
      <c r="T1431" s="569"/>
      <c r="U1431" s="569"/>
      <c r="V1431" s="569"/>
      <c r="W1431" s="569"/>
      <c r="X1431" s="569"/>
      <c r="Y1431" s="569"/>
      <c r="Z1431" s="569"/>
      <c r="AA1431" s="569"/>
      <c r="AB1431" s="569"/>
      <c r="AC1431" s="569"/>
      <c r="AD1431" s="569"/>
      <c r="AE1431" s="569"/>
      <c r="AF1431" s="569"/>
      <c r="AG1431" s="569"/>
      <c r="AH1431" s="569"/>
      <c r="AI1431" s="569"/>
      <c r="AJ1431" s="569"/>
      <c r="AK1431" s="569"/>
      <c r="AL1431" s="569"/>
      <c r="AM1431" s="273"/>
    </row>
    <row r="1432" spans="2:39" s="231" customFormat="1">
      <c r="B1432" s="3"/>
      <c r="C1432" s="3"/>
      <c r="D1432" s="79"/>
      <c r="E1432" s="18"/>
      <c r="F1432" s="569"/>
      <c r="G1432" s="569"/>
      <c r="H1432" s="569"/>
      <c r="I1432" s="569"/>
      <c r="J1432" s="569"/>
      <c r="K1432" s="569"/>
      <c r="L1432" s="569"/>
      <c r="M1432" s="569"/>
      <c r="N1432" s="569"/>
      <c r="O1432" s="569"/>
      <c r="P1432" s="569"/>
      <c r="Q1432" s="569"/>
      <c r="R1432" s="569"/>
      <c r="S1432" s="569"/>
      <c r="T1432" s="569"/>
      <c r="U1432" s="569"/>
      <c r="V1432" s="569"/>
      <c r="W1432" s="569"/>
      <c r="X1432" s="569"/>
      <c r="Y1432" s="569"/>
      <c r="Z1432" s="569"/>
      <c r="AA1432" s="569"/>
      <c r="AB1432" s="569"/>
      <c r="AC1432" s="569"/>
      <c r="AD1432" s="569"/>
      <c r="AE1432" s="569"/>
      <c r="AF1432" s="569"/>
      <c r="AG1432" s="569"/>
      <c r="AH1432" s="569"/>
      <c r="AI1432" s="569"/>
      <c r="AJ1432" s="569"/>
      <c r="AK1432" s="569"/>
      <c r="AL1432" s="569"/>
      <c r="AM1432" s="273"/>
    </row>
    <row r="1433" spans="2:39" s="361" customFormat="1">
      <c r="D1433" s="79"/>
      <c r="E1433" s="18"/>
      <c r="F1433" s="354"/>
      <c r="G1433" s="354"/>
      <c r="H1433" s="354"/>
      <c r="I1433" s="354"/>
      <c r="J1433" s="354"/>
      <c r="K1433" s="354"/>
      <c r="L1433" s="354"/>
      <c r="M1433" s="354"/>
      <c r="N1433" s="354"/>
      <c r="O1433" s="354"/>
      <c r="P1433" s="354"/>
      <c r="Q1433" s="354"/>
      <c r="R1433" s="354"/>
      <c r="S1433" s="354"/>
      <c r="T1433" s="354"/>
      <c r="U1433" s="354"/>
      <c r="V1433" s="354"/>
      <c r="W1433" s="354"/>
      <c r="X1433" s="354"/>
      <c r="Y1433" s="354"/>
      <c r="Z1433" s="354"/>
      <c r="AA1433" s="354"/>
      <c r="AB1433" s="354"/>
      <c r="AC1433" s="354"/>
      <c r="AD1433" s="354"/>
      <c r="AE1433" s="354"/>
      <c r="AF1433" s="354"/>
      <c r="AG1433" s="354"/>
      <c r="AH1433" s="354"/>
      <c r="AI1433" s="354"/>
      <c r="AJ1433" s="354"/>
      <c r="AK1433" s="354"/>
      <c r="AL1433" s="354"/>
      <c r="AM1433" s="273"/>
    </row>
    <row r="1434" spans="2:39" s="361" customFormat="1">
      <c r="D1434" s="79"/>
      <c r="E1434" s="18"/>
      <c r="F1434" s="354"/>
      <c r="G1434" s="354"/>
      <c r="H1434" s="354"/>
      <c r="I1434" s="354"/>
      <c r="J1434" s="354"/>
      <c r="K1434" s="354"/>
      <c r="L1434" s="354"/>
      <c r="M1434" s="354"/>
      <c r="N1434" s="354"/>
      <c r="O1434" s="354"/>
      <c r="P1434" s="354"/>
      <c r="Q1434" s="354"/>
      <c r="R1434" s="354"/>
      <c r="S1434" s="354"/>
      <c r="T1434" s="354"/>
      <c r="U1434" s="354"/>
      <c r="V1434" s="354"/>
      <c r="W1434" s="354"/>
      <c r="X1434" s="354"/>
      <c r="Y1434" s="354"/>
      <c r="Z1434" s="354"/>
      <c r="AA1434" s="354"/>
      <c r="AB1434" s="354"/>
      <c r="AC1434" s="354"/>
      <c r="AD1434" s="354"/>
      <c r="AE1434" s="354"/>
      <c r="AF1434" s="354"/>
      <c r="AG1434" s="354"/>
      <c r="AH1434" s="354"/>
      <c r="AI1434" s="354"/>
      <c r="AJ1434" s="354"/>
      <c r="AK1434" s="354"/>
      <c r="AL1434" s="354"/>
      <c r="AM1434" s="273"/>
    </row>
    <row r="1435" spans="2:39" s="361" customFormat="1">
      <c r="D1435" s="79"/>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10"/>
      <c r="AI1435" s="10"/>
      <c r="AJ1435" s="358" t="s">
        <v>24</v>
      </c>
      <c r="AK1435" s="612">
        <f>AK1311+1</f>
        <v>21</v>
      </c>
      <c r="AL1435" s="612"/>
      <c r="AM1435" s="358" t="s">
        <v>24</v>
      </c>
    </row>
    <row r="1436" spans="2:39" s="361" customFormat="1">
      <c r="D1436" s="79"/>
      <c r="E1436" s="18"/>
      <c r="F1436" s="354"/>
      <c r="G1436" s="354"/>
      <c r="H1436" s="354"/>
      <c r="I1436" s="354"/>
      <c r="J1436" s="354"/>
      <c r="K1436" s="354"/>
      <c r="L1436" s="354"/>
      <c r="M1436" s="354"/>
      <c r="N1436" s="354"/>
      <c r="O1436" s="354"/>
      <c r="P1436" s="354"/>
      <c r="Q1436" s="354"/>
      <c r="R1436" s="354"/>
      <c r="S1436" s="354"/>
      <c r="T1436" s="354"/>
      <c r="U1436" s="354"/>
      <c r="V1436" s="354"/>
      <c r="W1436" s="354"/>
      <c r="X1436" s="354"/>
      <c r="Y1436" s="354"/>
      <c r="Z1436" s="354"/>
      <c r="AA1436" s="354"/>
      <c r="AB1436" s="354"/>
      <c r="AC1436" s="354"/>
      <c r="AD1436" s="354"/>
      <c r="AE1436" s="354"/>
      <c r="AF1436" s="354"/>
      <c r="AG1436" s="354"/>
      <c r="AH1436" s="354"/>
      <c r="AI1436" s="354"/>
      <c r="AJ1436" s="354"/>
      <c r="AK1436" s="354"/>
      <c r="AL1436" s="354"/>
      <c r="AM1436" s="273"/>
    </row>
    <row r="1437" spans="2:39" s="361" customFormat="1">
      <c r="D1437" s="79"/>
      <c r="E1437" s="18"/>
      <c r="F1437" s="354"/>
      <c r="G1437" s="354"/>
      <c r="H1437" s="354"/>
      <c r="I1437" s="354"/>
      <c r="J1437" s="354"/>
      <c r="K1437" s="354"/>
      <c r="L1437" s="354"/>
      <c r="M1437" s="354"/>
      <c r="N1437" s="354"/>
      <c r="O1437" s="354"/>
      <c r="P1437" s="354"/>
      <c r="Q1437" s="354"/>
      <c r="R1437" s="354"/>
      <c r="S1437" s="354"/>
      <c r="T1437" s="354"/>
      <c r="U1437" s="354"/>
      <c r="V1437" s="354"/>
      <c r="W1437" s="354"/>
      <c r="X1437" s="354"/>
      <c r="Y1437" s="354"/>
      <c r="Z1437" s="354"/>
      <c r="AA1437" s="354"/>
      <c r="AB1437" s="354"/>
      <c r="AC1437" s="354"/>
      <c r="AD1437" s="354"/>
      <c r="AE1437" s="354"/>
      <c r="AF1437" s="354"/>
      <c r="AG1437" s="354"/>
      <c r="AH1437" s="354"/>
      <c r="AI1437" s="354"/>
      <c r="AJ1437" s="354"/>
      <c r="AK1437" s="354"/>
      <c r="AL1437" s="354"/>
      <c r="AM1437" s="273"/>
    </row>
    <row r="1438" spans="2:39" s="361" customFormat="1">
      <c r="D1438" s="79"/>
      <c r="E1438" s="18"/>
      <c r="F1438" s="354"/>
      <c r="G1438" s="354"/>
      <c r="H1438" s="354"/>
      <c r="I1438" s="354"/>
      <c r="J1438" s="354"/>
      <c r="K1438" s="354"/>
      <c r="L1438" s="354"/>
      <c r="M1438" s="354"/>
      <c r="N1438" s="354"/>
      <c r="O1438" s="354"/>
      <c r="P1438" s="354"/>
      <c r="Q1438" s="354"/>
      <c r="R1438" s="354"/>
      <c r="S1438" s="354"/>
      <c r="T1438" s="354"/>
      <c r="U1438" s="354"/>
      <c r="V1438" s="354"/>
      <c r="W1438" s="354"/>
      <c r="X1438" s="354"/>
      <c r="Y1438" s="354"/>
      <c r="Z1438" s="354"/>
      <c r="AA1438" s="354"/>
      <c r="AB1438" s="354"/>
      <c r="AC1438" s="354"/>
      <c r="AD1438" s="354"/>
      <c r="AE1438" s="354"/>
      <c r="AF1438" s="354"/>
      <c r="AG1438" s="354"/>
      <c r="AH1438" s="354"/>
      <c r="AI1438" s="354"/>
      <c r="AJ1438" s="354"/>
      <c r="AK1438" s="354"/>
      <c r="AL1438" s="354"/>
      <c r="AM1438" s="273"/>
    </row>
    <row r="1439" spans="2:39" s="361" customFormat="1">
      <c r="D1439" s="79"/>
      <c r="E1439" s="366"/>
      <c r="F1439" s="366"/>
      <c r="G1439" s="366"/>
      <c r="H1439" s="366"/>
      <c r="I1439" s="366"/>
      <c r="J1439" s="366"/>
      <c r="K1439" s="366"/>
      <c r="L1439" s="366"/>
      <c r="M1439" s="366"/>
      <c r="N1439" s="366"/>
      <c r="O1439" s="366"/>
      <c r="P1439" s="366"/>
      <c r="Q1439" s="366"/>
      <c r="R1439" s="366"/>
      <c r="S1439" s="366"/>
      <c r="T1439" s="366"/>
      <c r="U1439" s="366"/>
      <c r="V1439" s="366"/>
      <c r="W1439" s="366"/>
      <c r="X1439" s="366"/>
      <c r="Y1439" s="366"/>
      <c r="Z1439" s="366"/>
      <c r="AA1439" s="366"/>
      <c r="AB1439" s="366"/>
      <c r="AC1439" s="366"/>
      <c r="AD1439" s="366"/>
      <c r="AE1439" s="366"/>
      <c r="AF1439" s="366"/>
      <c r="AG1439" s="366"/>
      <c r="AH1439" s="366"/>
      <c r="AI1439" s="366"/>
      <c r="AJ1439" s="362"/>
      <c r="AK1439" s="362"/>
      <c r="AL1439" s="362"/>
      <c r="AM1439" s="362"/>
    </row>
    <row r="1440" spans="2:39" s="361" customFormat="1">
      <c r="D1440" s="79"/>
      <c r="E1440" s="265" t="str">
        <f>UPPER($Y$28)</f>
        <v>ПТ ЛОМБАРД "МЕРКУРІЙ"</v>
      </c>
      <c r="F1440" s="265"/>
      <c r="G1440" s="265"/>
      <c r="H1440" s="265"/>
      <c r="I1440" s="265"/>
      <c r="J1440" s="265"/>
      <c r="K1440" s="265"/>
      <c r="L1440" s="265"/>
      <c r="M1440" s="265"/>
      <c r="N1440" s="265"/>
      <c r="O1440" s="265"/>
      <c r="P1440" s="265"/>
      <c r="Q1440" s="265"/>
      <c r="R1440" s="265"/>
      <c r="S1440" s="265"/>
      <c r="T1440" s="265"/>
      <c r="U1440" s="265"/>
      <c r="V1440" s="265"/>
      <c r="W1440" s="265"/>
      <c r="X1440" s="265"/>
      <c r="Y1440" s="265"/>
      <c r="Z1440" s="265"/>
      <c r="AA1440" s="265"/>
      <c r="AB1440" s="265"/>
      <c r="AC1440" s="265"/>
      <c r="AD1440" s="265"/>
      <c r="AE1440" s="265"/>
      <c r="AF1440" s="265"/>
      <c r="AG1440" s="265"/>
      <c r="AH1440" s="265"/>
      <c r="AI1440" s="265"/>
      <c r="AJ1440" s="265"/>
      <c r="AK1440" s="265"/>
      <c r="AL1440" s="265"/>
      <c r="AM1440" s="265"/>
    </row>
    <row r="1441" spans="2:39" s="361" customFormat="1">
      <c r="D1441" s="79"/>
      <c r="E1441" s="269" t="s">
        <v>143</v>
      </c>
      <c r="F1441" s="269"/>
      <c r="G1441" s="269"/>
      <c r="H1441" s="269"/>
      <c r="I1441" s="269"/>
      <c r="J1441" s="269"/>
      <c r="K1441" s="269"/>
      <c r="L1441" s="269"/>
      <c r="M1441" s="269"/>
      <c r="N1441" s="269"/>
      <c r="O1441" s="269"/>
      <c r="P1441" s="269"/>
      <c r="Q1441" s="269"/>
      <c r="R1441" s="269"/>
      <c r="S1441" s="269"/>
      <c r="T1441" s="269"/>
      <c r="U1441" s="269"/>
      <c r="V1441" s="269"/>
      <c r="W1441" s="269"/>
      <c r="X1441" s="269"/>
      <c r="Y1441" s="269"/>
      <c r="Z1441" s="269"/>
      <c r="AA1441" s="269"/>
      <c r="AB1441" s="269"/>
      <c r="AC1441" s="269"/>
      <c r="AD1441" s="269"/>
      <c r="AE1441" s="269"/>
      <c r="AF1441" s="269"/>
      <c r="AG1441" s="269"/>
      <c r="AH1441" s="269"/>
      <c r="AI1441" s="269"/>
      <c r="AJ1441" s="269"/>
      <c r="AK1441" s="269"/>
      <c r="AL1441" s="269"/>
      <c r="AM1441" s="269"/>
    </row>
    <row r="1442" spans="2:39" s="361" customFormat="1">
      <c r="D1442" s="79"/>
      <c r="E1442" s="269" t="str">
        <f>$E$274</f>
        <v>ЗА РІК, ЩО ЗАКІНЧИВСЯ 31 ГРУДНЯ 2020 РОКУ</v>
      </c>
      <c r="F1442" s="269"/>
      <c r="G1442" s="269"/>
      <c r="H1442" s="269"/>
      <c r="I1442" s="269"/>
      <c r="J1442" s="269"/>
      <c r="K1442" s="269"/>
      <c r="L1442" s="269"/>
      <c r="M1442" s="269"/>
      <c r="N1442" s="269"/>
      <c r="O1442" s="269"/>
      <c r="P1442" s="269"/>
      <c r="Q1442" s="269"/>
      <c r="R1442" s="269"/>
      <c r="S1442" s="269"/>
      <c r="T1442" s="269"/>
      <c r="U1442" s="269"/>
      <c r="V1442" s="269"/>
      <c r="W1442" s="269"/>
      <c r="X1442" s="269"/>
      <c r="Y1442" s="269"/>
      <c r="Z1442" s="269"/>
      <c r="AA1442" s="269"/>
      <c r="AB1442" s="269"/>
      <c r="AC1442" s="269"/>
      <c r="AD1442" s="269"/>
      <c r="AE1442" s="269"/>
      <c r="AF1442" s="269"/>
      <c r="AG1442" s="269"/>
      <c r="AH1442" s="269"/>
      <c r="AI1442" s="269"/>
      <c r="AJ1442" s="269"/>
      <c r="AK1442" s="269"/>
      <c r="AL1442" s="269"/>
      <c r="AM1442" s="269"/>
    </row>
    <row r="1443" spans="2:39" s="231" customFormat="1">
      <c r="B1443" s="3"/>
      <c r="C1443" s="3"/>
      <c r="D1443" s="1"/>
      <c r="E1443" s="244" t="str">
        <f>$E$209</f>
        <v>(в тисячах гривень, якщо не вказано інше)</v>
      </c>
      <c r="F1443" s="244"/>
      <c r="G1443" s="244"/>
      <c r="H1443" s="244"/>
      <c r="I1443" s="244"/>
      <c r="J1443" s="244"/>
      <c r="K1443" s="244"/>
      <c r="L1443" s="244"/>
      <c r="M1443" s="244"/>
      <c r="N1443" s="244"/>
      <c r="O1443" s="244"/>
      <c r="P1443" s="244"/>
      <c r="Q1443" s="244"/>
      <c r="R1443" s="244"/>
      <c r="S1443" s="244"/>
      <c r="T1443" s="244"/>
      <c r="U1443" s="244"/>
      <c r="V1443" s="244"/>
      <c r="W1443" s="244"/>
      <c r="X1443" s="244"/>
      <c r="Y1443" s="244"/>
      <c r="Z1443" s="244"/>
      <c r="AA1443" s="244"/>
      <c r="AB1443" s="244"/>
      <c r="AC1443" s="244"/>
      <c r="AD1443" s="244"/>
      <c r="AE1443" s="244"/>
      <c r="AF1443" s="244"/>
      <c r="AG1443" s="244"/>
      <c r="AH1443" s="244"/>
      <c r="AI1443" s="244"/>
      <c r="AJ1443" s="244"/>
      <c r="AK1443" s="244"/>
      <c r="AL1443" s="244"/>
      <c r="AM1443" s="244"/>
    </row>
    <row r="1444" spans="2:39" s="361" customFormat="1">
      <c r="D1444" s="1"/>
      <c r="E1444" s="265"/>
      <c r="F1444" s="265"/>
      <c r="G1444" s="265"/>
      <c r="H1444" s="265"/>
      <c r="I1444" s="265"/>
      <c r="J1444" s="265"/>
      <c r="K1444" s="265"/>
      <c r="L1444" s="265"/>
      <c r="M1444" s="265"/>
      <c r="N1444" s="265"/>
      <c r="O1444" s="265"/>
      <c r="P1444" s="265"/>
      <c r="Q1444" s="265"/>
      <c r="R1444" s="265"/>
      <c r="S1444" s="265"/>
      <c r="T1444" s="265"/>
      <c r="U1444" s="265"/>
      <c r="V1444" s="265"/>
      <c r="W1444" s="265"/>
      <c r="X1444" s="265"/>
      <c r="Y1444" s="265"/>
      <c r="Z1444" s="265"/>
      <c r="AA1444" s="265"/>
      <c r="AB1444" s="265"/>
      <c r="AC1444" s="265"/>
      <c r="AD1444" s="265"/>
      <c r="AE1444" s="265"/>
      <c r="AF1444" s="265"/>
      <c r="AG1444" s="265"/>
      <c r="AH1444" s="265"/>
      <c r="AI1444" s="265"/>
      <c r="AJ1444" s="265"/>
      <c r="AK1444" s="265"/>
      <c r="AL1444" s="265"/>
      <c r="AM1444" s="265"/>
    </row>
    <row r="1445" spans="2:39" s="231" customFormat="1">
      <c r="B1445" s="3"/>
      <c r="C1445" s="3"/>
      <c r="D1445" s="1"/>
      <c r="E1445" s="18"/>
      <c r="F1445" s="268" t="s">
        <v>426</v>
      </c>
      <c r="G1445" s="268"/>
      <c r="H1445" s="268"/>
      <c r="I1445" s="268"/>
      <c r="J1445" s="268"/>
      <c r="K1445" s="268"/>
      <c r="L1445" s="268"/>
      <c r="M1445" s="268"/>
      <c r="N1445" s="268"/>
      <c r="O1445" s="268"/>
      <c r="P1445" s="268"/>
      <c r="Q1445" s="268"/>
      <c r="R1445" s="268"/>
      <c r="S1445" s="268"/>
      <c r="T1445" s="268"/>
      <c r="U1445" s="268"/>
      <c r="V1445" s="268"/>
      <c r="W1445" s="268"/>
      <c r="X1445" s="268"/>
      <c r="Y1445" s="268"/>
      <c r="Z1445" s="268"/>
      <c r="AA1445" s="268"/>
      <c r="AB1445" s="268"/>
      <c r="AC1445" s="268"/>
      <c r="AD1445" s="268"/>
      <c r="AE1445" s="268"/>
      <c r="AF1445" s="268"/>
      <c r="AG1445" s="268"/>
      <c r="AH1445" s="268"/>
      <c r="AI1445" s="268"/>
      <c r="AJ1445" s="268"/>
      <c r="AK1445" s="268"/>
      <c r="AL1445" s="268"/>
      <c r="AM1445" s="268"/>
    </row>
    <row r="1446" spans="2:39" s="231" customFormat="1" ht="14.1" customHeight="1">
      <c r="B1446" s="3"/>
      <c r="C1446" s="3"/>
      <c r="D1446" s="1"/>
      <c r="E1446" s="18"/>
      <c r="F1446" s="569" t="s">
        <v>427</v>
      </c>
      <c r="G1446" s="569"/>
      <c r="H1446" s="569"/>
      <c r="I1446" s="569"/>
      <c r="J1446" s="569"/>
      <c r="K1446" s="569"/>
      <c r="L1446" s="569"/>
      <c r="M1446" s="569"/>
      <c r="N1446" s="569"/>
      <c r="O1446" s="569"/>
      <c r="P1446" s="569"/>
      <c r="Q1446" s="569"/>
      <c r="R1446" s="569"/>
      <c r="S1446" s="569"/>
      <c r="T1446" s="569"/>
      <c r="U1446" s="569"/>
      <c r="V1446" s="569"/>
      <c r="W1446" s="569"/>
      <c r="X1446" s="569"/>
      <c r="Y1446" s="569"/>
      <c r="Z1446" s="569"/>
      <c r="AA1446" s="569"/>
      <c r="AB1446" s="569"/>
      <c r="AC1446" s="569"/>
      <c r="AD1446" s="569"/>
      <c r="AE1446" s="569"/>
      <c r="AF1446" s="569"/>
      <c r="AG1446" s="569"/>
      <c r="AH1446" s="569"/>
      <c r="AI1446" s="569"/>
      <c r="AJ1446" s="569"/>
      <c r="AK1446" s="569"/>
      <c r="AL1446" s="569"/>
      <c r="AM1446" s="273"/>
    </row>
    <row r="1447" spans="2:39" s="231" customFormat="1">
      <c r="B1447" s="3"/>
      <c r="C1447" s="3"/>
      <c r="D1447" s="1"/>
      <c r="E1447" s="18"/>
      <c r="F1447" s="569"/>
      <c r="G1447" s="569"/>
      <c r="H1447" s="569"/>
      <c r="I1447" s="569"/>
      <c r="J1447" s="569"/>
      <c r="K1447" s="569"/>
      <c r="L1447" s="569"/>
      <c r="M1447" s="569"/>
      <c r="N1447" s="569"/>
      <c r="O1447" s="569"/>
      <c r="P1447" s="569"/>
      <c r="Q1447" s="569"/>
      <c r="R1447" s="569"/>
      <c r="S1447" s="569"/>
      <c r="T1447" s="569"/>
      <c r="U1447" s="569"/>
      <c r="V1447" s="569"/>
      <c r="W1447" s="569"/>
      <c r="X1447" s="569"/>
      <c r="Y1447" s="569"/>
      <c r="Z1447" s="569"/>
      <c r="AA1447" s="569"/>
      <c r="AB1447" s="569"/>
      <c r="AC1447" s="569"/>
      <c r="AD1447" s="569"/>
      <c r="AE1447" s="569"/>
      <c r="AF1447" s="569"/>
      <c r="AG1447" s="569"/>
      <c r="AH1447" s="569"/>
      <c r="AI1447" s="569"/>
      <c r="AJ1447" s="569"/>
      <c r="AK1447" s="569"/>
      <c r="AL1447" s="569"/>
      <c r="AM1447" s="273"/>
    </row>
    <row r="1448" spans="2:39" s="231" customFormat="1">
      <c r="B1448" s="3"/>
      <c r="C1448" s="3"/>
      <c r="D1448" s="80"/>
      <c r="E1448" s="18"/>
      <c r="F1448" s="569"/>
      <c r="G1448" s="569"/>
      <c r="H1448" s="569"/>
      <c r="I1448" s="569"/>
      <c r="J1448" s="569"/>
      <c r="K1448" s="569"/>
      <c r="L1448" s="569"/>
      <c r="M1448" s="569"/>
      <c r="N1448" s="569"/>
      <c r="O1448" s="569"/>
      <c r="P1448" s="569"/>
      <c r="Q1448" s="569"/>
      <c r="R1448" s="569"/>
      <c r="S1448" s="569"/>
      <c r="T1448" s="569"/>
      <c r="U1448" s="569"/>
      <c r="V1448" s="569"/>
      <c r="W1448" s="569"/>
      <c r="X1448" s="569"/>
      <c r="Y1448" s="569"/>
      <c r="Z1448" s="569"/>
      <c r="AA1448" s="569"/>
      <c r="AB1448" s="569"/>
      <c r="AC1448" s="569"/>
      <c r="AD1448" s="569"/>
      <c r="AE1448" s="569"/>
      <c r="AF1448" s="569"/>
      <c r="AG1448" s="569"/>
      <c r="AH1448" s="569"/>
      <c r="AI1448" s="569"/>
      <c r="AJ1448" s="569"/>
      <c r="AK1448" s="569"/>
      <c r="AL1448" s="569"/>
      <c r="AM1448" s="273"/>
    </row>
    <row r="1449" spans="2:39" s="231" customFormat="1">
      <c r="B1449" s="3"/>
      <c r="C1449" s="3"/>
      <c r="D1449" s="79"/>
      <c r="E1449" s="18"/>
      <c r="F1449" s="569"/>
      <c r="G1449" s="569"/>
      <c r="H1449" s="569"/>
      <c r="I1449" s="569"/>
      <c r="J1449" s="569"/>
      <c r="K1449" s="569"/>
      <c r="L1449" s="569"/>
      <c r="M1449" s="569"/>
      <c r="N1449" s="569"/>
      <c r="O1449" s="569"/>
      <c r="P1449" s="569"/>
      <c r="Q1449" s="569"/>
      <c r="R1449" s="569"/>
      <c r="S1449" s="569"/>
      <c r="T1449" s="569"/>
      <c r="U1449" s="569"/>
      <c r="V1449" s="569"/>
      <c r="W1449" s="569"/>
      <c r="X1449" s="569"/>
      <c r="Y1449" s="569"/>
      <c r="Z1449" s="569"/>
      <c r="AA1449" s="569"/>
      <c r="AB1449" s="569"/>
      <c r="AC1449" s="569"/>
      <c r="AD1449" s="569"/>
      <c r="AE1449" s="569"/>
      <c r="AF1449" s="569"/>
      <c r="AG1449" s="569"/>
      <c r="AH1449" s="569"/>
      <c r="AI1449" s="569"/>
      <c r="AJ1449" s="569"/>
      <c r="AK1449" s="569"/>
      <c r="AL1449" s="569"/>
      <c r="AM1449" s="273"/>
    </row>
    <row r="1450" spans="2:39" s="231" customFormat="1">
      <c r="B1450" s="3"/>
      <c r="C1450" s="3"/>
      <c r="D1450" s="1"/>
      <c r="E1450" s="18"/>
      <c r="F1450" s="569"/>
      <c r="G1450" s="569"/>
      <c r="H1450" s="569"/>
      <c r="I1450" s="569"/>
      <c r="J1450" s="569"/>
      <c r="K1450" s="569"/>
      <c r="L1450" s="569"/>
      <c r="M1450" s="569"/>
      <c r="N1450" s="569"/>
      <c r="O1450" s="569"/>
      <c r="P1450" s="569"/>
      <c r="Q1450" s="569"/>
      <c r="R1450" s="569"/>
      <c r="S1450" s="569"/>
      <c r="T1450" s="569"/>
      <c r="U1450" s="569"/>
      <c r="V1450" s="569"/>
      <c r="W1450" s="569"/>
      <c r="X1450" s="569"/>
      <c r="Y1450" s="569"/>
      <c r="Z1450" s="569"/>
      <c r="AA1450" s="569"/>
      <c r="AB1450" s="569"/>
      <c r="AC1450" s="569"/>
      <c r="AD1450" s="569"/>
      <c r="AE1450" s="569"/>
      <c r="AF1450" s="569"/>
      <c r="AG1450" s="569"/>
      <c r="AH1450" s="569"/>
      <c r="AI1450" s="569"/>
      <c r="AJ1450" s="569"/>
      <c r="AK1450" s="569"/>
      <c r="AL1450" s="569"/>
      <c r="AM1450" s="273"/>
    </row>
    <row r="1451" spans="2:39" s="231" customFormat="1">
      <c r="B1451" s="3"/>
      <c r="C1451" s="3"/>
      <c r="D1451" s="1"/>
      <c r="E1451" s="18"/>
      <c r="F1451" s="569"/>
      <c r="G1451" s="569"/>
      <c r="H1451" s="569"/>
      <c r="I1451" s="569"/>
      <c r="J1451" s="569"/>
      <c r="K1451" s="569"/>
      <c r="L1451" s="569"/>
      <c r="M1451" s="569"/>
      <c r="N1451" s="569"/>
      <c r="O1451" s="569"/>
      <c r="P1451" s="569"/>
      <c r="Q1451" s="569"/>
      <c r="R1451" s="569"/>
      <c r="S1451" s="569"/>
      <c r="T1451" s="569"/>
      <c r="U1451" s="569"/>
      <c r="V1451" s="569"/>
      <c r="W1451" s="569"/>
      <c r="X1451" s="569"/>
      <c r="Y1451" s="569"/>
      <c r="Z1451" s="569"/>
      <c r="AA1451" s="569"/>
      <c r="AB1451" s="569"/>
      <c r="AC1451" s="569"/>
      <c r="AD1451" s="569"/>
      <c r="AE1451" s="569"/>
      <c r="AF1451" s="569"/>
      <c r="AG1451" s="569"/>
      <c r="AH1451" s="569"/>
      <c r="AI1451" s="569"/>
      <c r="AJ1451" s="569"/>
      <c r="AK1451" s="569"/>
      <c r="AL1451" s="569"/>
      <c r="AM1451" s="273"/>
    </row>
    <row r="1452" spans="2:39" s="231" customFormat="1">
      <c r="B1452" s="3"/>
      <c r="C1452" s="3"/>
      <c r="D1452" s="1"/>
      <c r="E1452" s="18"/>
      <c r="F1452" s="569"/>
      <c r="G1452" s="569"/>
      <c r="H1452" s="569"/>
      <c r="I1452" s="569"/>
      <c r="J1452" s="569"/>
      <c r="K1452" s="569"/>
      <c r="L1452" s="569"/>
      <c r="M1452" s="569"/>
      <c r="N1452" s="569"/>
      <c r="O1452" s="569"/>
      <c r="P1452" s="569"/>
      <c r="Q1452" s="569"/>
      <c r="R1452" s="569"/>
      <c r="S1452" s="569"/>
      <c r="T1452" s="569"/>
      <c r="U1452" s="569"/>
      <c r="V1452" s="569"/>
      <c r="W1452" s="569"/>
      <c r="X1452" s="569"/>
      <c r="Y1452" s="569"/>
      <c r="Z1452" s="569"/>
      <c r="AA1452" s="569"/>
      <c r="AB1452" s="569"/>
      <c r="AC1452" s="569"/>
      <c r="AD1452" s="569"/>
      <c r="AE1452" s="569"/>
      <c r="AF1452" s="569"/>
      <c r="AG1452" s="569"/>
      <c r="AH1452" s="569"/>
      <c r="AI1452" s="569"/>
      <c r="AJ1452" s="569"/>
      <c r="AK1452" s="569"/>
      <c r="AL1452" s="569"/>
      <c r="AM1452" s="273"/>
    </row>
    <row r="1453" spans="2:39" s="231" customFormat="1">
      <c r="B1453" s="3"/>
      <c r="C1453" s="3"/>
      <c r="D1453" s="1"/>
      <c r="E1453" s="18"/>
      <c r="F1453" s="569"/>
      <c r="G1453" s="569"/>
      <c r="H1453" s="569"/>
      <c r="I1453" s="569"/>
      <c r="J1453" s="569"/>
      <c r="K1453" s="569"/>
      <c r="L1453" s="569"/>
      <c r="M1453" s="569"/>
      <c r="N1453" s="569"/>
      <c r="O1453" s="569"/>
      <c r="P1453" s="569"/>
      <c r="Q1453" s="569"/>
      <c r="R1453" s="569"/>
      <c r="S1453" s="569"/>
      <c r="T1453" s="569"/>
      <c r="U1453" s="569"/>
      <c r="V1453" s="569"/>
      <c r="W1453" s="569"/>
      <c r="X1453" s="569"/>
      <c r="Y1453" s="569"/>
      <c r="Z1453" s="569"/>
      <c r="AA1453" s="569"/>
      <c r="AB1453" s="569"/>
      <c r="AC1453" s="569"/>
      <c r="AD1453" s="569"/>
      <c r="AE1453" s="569"/>
      <c r="AF1453" s="569"/>
      <c r="AG1453" s="569"/>
      <c r="AH1453" s="569"/>
      <c r="AI1453" s="569"/>
      <c r="AJ1453" s="569"/>
      <c r="AK1453" s="569"/>
      <c r="AL1453" s="569"/>
      <c r="AM1453" s="273"/>
    </row>
    <row r="1454" spans="2:39" s="231" customFormat="1">
      <c r="B1454" s="3"/>
      <c r="C1454" s="3"/>
      <c r="D1454" s="1"/>
      <c r="E1454" s="18"/>
      <c r="F1454" s="569"/>
      <c r="G1454" s="569"/>
      <c r="H1454" s="569"/>
      <c r="I1454" s="569"/>
      <c r="J1454" s="569"/>
      <c r="K1454" s="569"/>
      <c r="L1454" s="569"/>
      <c r="M1454" s="569"/>
      <c r="N1454" s="569"/>
      <c r="O1454" s="569"/>
      <c r="P1454" s="569"/>
      <c r="Q1454" s="569"/>
      <c r="R1454" s="569"/>
      <c r="S1454" s="569"/>
      <c r="T1454" s="569"/>
      <c r="U1454" s="569"/>
      <c r="V1454" s="569"/>
      <c r="W1454" s="569"/>
      <c r="X1454" s="569"/>
      <c r="Y1454" s="569"/>
      <c r="Z1454" s="569"/>
      <c r="AA1454" s="569"/>
      <c r="AB1454" s="569"/>
      <c r="AC1454" s="569"/>
      <c r="AD1454" s="569"/>
      <c r="AE1454" s="569"/>
      <c r="AF1454" s="569"/>
      <c r="AG1454" s="569"/>
      <c r="AH1454" s="569"/>
      <c r="AI1454" s="569"/>
      <c r="AJ1454" s="569"/>
      <c r="AK1454" s="569"/>
      <c r="AL1454" s="569"/>
      <c r="AM1454" s="229"/>
    </row>
    <row r="1455" spans="2:39" s="231" customFormat="1">
      <c r="B1455" s="3"/>
      <c r="C1455" s="3"/>
      <c r="D1455" s="1"/>
      <c r="F1455" s="221"/>
      <c r="G1455" s="221"/>
      <c r="H1455" s="221"/>
      <c r="I1455" s="221"/>
      <c r="J1455" s="221"/>
      <c r="K1455" s="221"/>
      <c r="L1455" s="221"/>
      <c r="M1455" s="221"/>
      <c r="N1455" s="221"/>
      <c r="O1455" s="221"/>
      <c r="P1455" s="221"/>
      <c r="Q1455" s="221"/>
      <c r="R1455" s="221"/>
      <c r="S1455" s="221"/>
      <c r="T1455" s="221"/>
      <c r="U1455" s="221"/>
      <c r="V1455" s="221"/>
      <c r="W1455" s="221"/>
      <c r="X1455" s="221"/>
      <c r="AG1455" s="313"/>
      <c r="AH1455" s="313"/>
      <c r="AI1455" s="313"/>
      <c r="AJ1455" s="313"/>
      <c r="AK1455" s="313"/>
      <c r="AL1455" s="72"/>
      <c r="AM1455" s="313"/>
    </row>
    <row r="1456" spans="2:39" s="231" customFormat="1">
      <c r="B1456" s="3"/>
      <c r="C1456" s="3"/>
      <c r="D1456" s="1"/>
      <c r="E1456" s="18"/>
    </row>
    <row r="1457" spans="2:39" s="231" customFormat="1">
      <c r="B1457" s="3"/>
      <c r="C1457" s="3"/>
      <c r="D1457" s="1"/>
      <c r="E1457" s="18"/>
      <c r="F1457" s="268" t="s">
        <v>428</v>
      </c>
      <c r="G1457" s="268"/>
      <c r="H1457" s="268"/>
      <c r="I1457" s="268"/>
      <c r="J1457" s="268"/>
      <c r="K1457" s="268"/>
      <c r="L1457" s="268"/>
      <c r="M1457" s="268"/>
      <c r="N1457" s="268"/>
      <c r="O1457" s="268"/>
      <c r="P1457" s="268"/>
      <c r="Q1457" s="268"/>
      <c r="R1457" s="268"/>
      <c r="S1457" s="268"/>
      <c r="T1457" s="268"/>
      <c r="U1457" s="268"/>
      <c r="V1457" s="268"/>
      <c r="W1457" s="268"/>
      <c r="X1457" s="268"/>
      <c r="Y1457" s="268"/>
      <c r="Z1457" s="268"/>
      <c r="AA1457" s="268"/>
      <c r="AB1457" s="268"/>
      <c r="AC1457" s="268"/>
      <c r="AD1457" s="268"/>
      <c r="AE1457" s="268"/>
      <c r="AF1457" s="268"/>
      <c r="AG1457" s="268"/>
      <c r="AH1457" s="268"/>
      <c r="AI1457" s="268"/>
      <c r="AJ1457" s="268"/>
      <c r="AK1457" s="268"/>
      <c r="AL1457" s="268"/>
      <c r="AM1457" s="268"/>
    </row>
    <row r="1458" spans="2:39" s="231" customFormat="1" ht="14.1" customHeight="1">
      <c r="B1458" s="3"/>
      <c r="C1458" s="3"/>
      <c r="D1458" s="1"/>
      <c r="E1458" s="18"/>
      <c r="F1458" s="625" t="s">
        <v>1668</v>
      </c>
      <c r="G1458" s="625"/>
      <c r="H1458" s="625"/>
      <c r="I1458" s="625"/>
      <c r="J1458" s="625"/>
      <c r="K1458" s="625"/>
      <c r="L1458" s="625"/>
      <c r="M1458" s="625"/>
      <c r="N1458" s="625"/>
      <c r="O1458" s="625"/>
      <c r="P1458" s="625"/>
      <c r="Q1458" s="625"/>
      <c r="R1458" s="625"/>
      <c r="S1458" s="625"/>
      <c r="T1458" s="625"/>
      <c r="U1458" s="625"/>
      <c r="V1458" s="625"/>
      <c r="W1458" s="625"/>
      <c r="X1458" s="625"/>
      <c r="Y1458" s="625"/>
      <c r="Z1458" s="625"/>
      <c r="AA1458" s="625"/>
      <c r="AB1458" s="625"/>
      <c r="AC1458" s="625"/>
      <c r="AD1458" s="625"/>
      <c r="AE1458" s="625"/>
      <c r="AF1458" s="625"/>
      <c r="AG1458" s="625"/>
      <c r="AH1458" s="625"/>
      <c r="AI1458" s="625"/>
      <c r="AJ1458" s="625"/>
      <c r="AK1458" s="625"/>
      <c r="AL1458" s="625"/>
      <c r="AM1458" s="267"/>
    </row>
    <row r="1459" spans="2:39" s="231" customFormat="1">
      <c r="B1459" s="3"/>
      <c r="C1459" s="3"/>
      <c r="D1459" s="1"/>
      <c r="E1459" s="18"/>
      <c r="F1459" s="625"/>
      <c r="G1459" s="625"/>
      <c r="H1459" s="625"/>
      <c r="I1459" s="625"/>
      <c r="J1459" s="625"/>
      <c r="K1459" s="625"/>
      <c r="L1459" s="625"/>
      <c r="M1459" s="625"/>
      <c r="N1459" s="625"/>
      <c r="O1459" s="625"/>
      <c r="P1459" s="625"/>
      <c r="Q1459" s="625"/>
      <c r="R1459" s="625"/>
      <c r="S1459" s="625"/>
      <c r="T1459" s="625"/>
      <c r="U1459" s="625"/>
      <c r="V1459" s="625"/>
      <c r="W1459" s="625"/>
      <c r="X1459" s="625"/>
      <c r="Y1459" s="625"/>
      <c r="Z1459" s="625"/>
      <c r="AA1459" s="625"/>
      <c r="AB1459" s="625"/>
      <c r="AC1459" s="625"/>
      <c r="AD1459" s="625"/>
      <c r="AE1459" s="625"/>
      <c r="AF1459" s="625"/>
      <c r="AG1459" s="625"/>
      <c r="AH1459" s="625"/>
      <c r="AI1459" s="625"/>
      <c r="AJ1459" s="625"/>
      <c r="AK1459" s="625"/>
      <c r="AL1459" s="625"/>
      <c r="AM1459" s="267"/>
    </row>
    <row r="1460" spans="2:39" s="231" customFormat="1">
      <c r="B1460" s="3"/>
      <c r="C1460" s="3"/>
      <c r="D1460" s="1"/>
      <c r="E1460" s="18"/>
      <c r="F1460" s="625"/>
      <c r="G1460" s="625"/>
      <c r="H1460" s="625"/>
      <c r="I1460" s="625"/>
      <c r="J1460" s="625"/>
      <c r="K1460" s="625"/>
      <c r="L1460" s="625"/>
      <c r="M1460" s="625"/>
      <c r="N1460" s="625"/>
      <c r="O1460" s="625"/>
      <c r="P1460" s="625"/>
      <c r="Q1460" s="625"/>
      <c r="R1460" s="625"/>
      <c r="S1460" s="625"/>
      <c r="T1460" s="625"/>
      <c r="U1460" s="625"/>
      <c r="V1460" s="625"/>
      <c r="W1460" s="625"/>
      <c r="X1460" s="625"/>
      <c r="Y1460" s="625"/>
      <c r="Z1460" s="625"/>
      <c r="AA1460" s="625"/>
      <c r="AB1460" s="625"/>
      <c r="AC1460" s="625"/>
      <c r="AD1460" s="625"/>
      <c r="AE1460" s="625"/>
      <c r="AF1460" s="625"/>
      <c r="AG1460" s="625"/>
      <c r="AH1460" s="625"/>
      <c r="AI1460" s="625"/>
      <c r="AJ1460" s="625"/>
      <c r="AK1460" s="625"/>
      <c r="AL1460" s="625"/>
      <c r="AM1460" s="267"/>
    </row>
    <row r="1461" spans="2:39" s="231" customFormat="1">
      <c r="B1461" s="3"/>
      <c r="C1461" s="3"/>
      <c r="D1461" s="1"/>
      <c r="E1461" s="18"/>
      <c r="F1461" s="625"/>
      <c r="G1461" s="625"/>
      <c r="H1461" s="625"/>
      <c r="I1461" s="625"/>
      <c r="J1461" s="625"/>
      <c r="K1461" s="625"/>
      <c r="L1461" s="625"/>
      <c r="M1461" s="625"/>
      <c r="N1461" s="625"/>
      <c r="O1461" s="625"/>
      <c r="P1461" s="625"/>
      <c r="Q1461" s="625"/>
      <c r="R1461" s="625"/>
      <c r="S1461" s="625"/>
      <c r="T1461" s="625"/>
      <c r="U1461" s="625"/>
      <c r="V1461" s="625"/>
      <c r="W1461" s="625"/>
      <c r="X1461" s="625"/>
      <c r="Y1461" s="625"/>
      <c r="Z1461" s="625"/>
      <c r="AA1461" s="625"/>
      <c r="AB1461" s="625"/>
      <c r="AC1461" s="625"/>
      <c r="AD1461" s="625"/>
      <c r="AE1461" s="625"/>
      <c r="AF1461" s="625"/>
      <c r="AG1461" s="625"/>
      <c r="AH1461" s="625"/>
      <c r="AI1461" s="625"/>
      <c r="AJ1461" s="625"/>
      <c r="AK1461" s="625"/>
      <c r="AL1461" s="625"/>
      <c r="AM1461" s="267"/>
    </row>
    <row r="1462" spans="2:39" s="231" customFormat="1">
      <c r="B1462" s="3"/>
      <c r="C1462" s="3"/>
      <c r="D1462" s="1"/>
      <c r="E1462" s="18"/>
      <c r="F1462" s="625"/>
      <c r="G1462" s="625"/>
      <c r="H1462" s="625"/>
      <c r="I1462" s="625"/>
      <c r="J1462" s="625"/>
      <c r="K1462" s="625"/>
      <c r="L1462" s="625"/>
      <c r="M1462" s="625"/>
      <c r="N1462" s="625"/>
      <c r="O1462" s="625"/>
      <c r="P1462" s="625"/>
      <c r="Q1462" s="625"/>
      <c r="R1462" s="625"/>
      <c r="S1462" s="625"/>
      <c r="T1462" s="625"/>
      <c r="U1462" s="625"/>
      <c r="V1462" s="625"/>
      <c r="W1462" s="625"/>
      <c r="X1462" s="625"/>
      <c r="Y1462" s="625"/>
      <c r="Z1462" s="625"/>
      <c r="AA1462" s="625"/>
      <c r="AB1462" s="625"/>
      <c r="AC1462" s="625"/>
      <c r="AD1462" s="625"/>
      <c r="AE1462" s="625"/>
      <c r="AF1462" s="625"/>
      <c r="AG1462" s="625"/>
      <c r="AH1462" s="625"/>
      <c r="AI1462" s="625"/>
      <c r="AJ1462" s="625"/>
      <c r="AK1462" s="625"/>
      <c r="AL1462" s="625"/>
      <c r="AM1462" s="267"/>
    </row>
    <row r="1463" spans="2:39" s="231" customFormat="1">
      <c r="B1463" s="3"/>
      <c r="C1463" s="3"/>
      <c r="D1463" s="1"/>
      <c r="E1463" s="18"/>
      <c r="F1463" s="625"/>
      <c r="G1463" s="625"/>
      <c r="H1463" s="625"/>
      <c r="I1463" s="625"/>
      <c r="J1463" s="625"/>
      <c r="K1463" s="625"/>
      <c r="L1463" s="625"/>
      <c r="M1463" s="625"/>
      <c r="N1463" s="625"/>
      <c r="O1463" s="625"/>
      <c r="P1463" s="625"/>
      <c r="Q1463" s="625"/>
      <c r="R1463" s="625"/>
      <c r="S1463" s="625"/>
      <c r="T1463" s="625"/>
      <c r="U1463" s="625"/>
      <c r="V1463" s="625"/>
      <c r="W1463" s="625"/>
      <c r="X1463" s="625"/>
      <c r="Y1463" s="625"/>
      <c r="Z1463" s="625"/>
      <c r="AA1463" s="625"/>
      <c r="AB1463" s="625"/>
      <c r="AC1463" s="625"/>
      <c r="AD1463" s="625"/>
      <c r="AE1463" s="625"/>
      <c r="AF1463" s="625"/>
      <c r="AG1463" s="625"/>
      <c r="AH1463" s="625"/>
      <c r="AI1463" s="625"/>
      <c r="AJ1463" s="625"/>
      <c r="AK1463" s="625"/>
      <c r="AL1463" s="625"/>
      <c r="AM1463" s="267"/>
    </row>
    <row r="1464" spans="2:39" s="231" customFormat="1">
      <c r="B1464" s="3"/>
      <c r="C1464" s="3"/>
      <c r="D1464" s="1"/>
      <c r="E1464" s="18"/>
      <c r="F1464" s="625"/>
      <c r="G1464" s="625"/>
      <c r="H1464" s="625"/>
      <c r="I1464" s="625"/>
      <c r="J1464" s="625"/>
      <c r="K1464" s="625"/>
      <c r="L1464" s="625"/>
      <c r="M1464" s="625"/>
      <c r="N1464" s="625"/>
      <c r="O1464" s="625"/>
      <c r="P1464" s="625"/>
      <c r="Q1464" s="625"/>
      <c r="R1464" s="625"/>
      <c r="S1464" s="625"/>
      <c r="T1464" s="625"/>
      <c r="U1464" s="625"/>
      <c r="V1464" s="625"/>
      <c r="W1464" s="625"/>
      <c r="X1464" s="625"/>
      <c r="Y1464" s="625"/>
      <c r="Z1464" s="625"/>
      <c r="AA1464" s="625"/>
      <c r="AB1464" s="625"/>
      <c r="AC1464" s="625"/>
      <c r="AD1464" s="625"/>
      <c r="AE1464" s="625"/>
      <c r="AF1464" s="625"/>
      <c r="AG1464" s="625"/>
      <c r="AH1464" s="625"/>
      <c r="AI1464" s="625"/>
      <c r="AJ1464" s="625"/>
      <c r="AK1464" s="625"/>
      <c r="AL1464" s="625"/>
      <c r="AM1464" s="267"/>
    </row>
    <row r="1465" spans="2:39" s="231" customFormat="1">
      <c r="B1465" s="3"/>
      <c r="C1465" s="3"/>
      <c r="D1465" s="3"/>
      <c r="E1465" s="18"/>
      <c r="F1465" s="625"/>
      <c r="G1465" s="625"/>
      <c r="H1465" s="625"/>
      <c r="I1465" s="625"/>
      <c r="J1465" s="625"/>
      <c r="K1465" s="625"/>
      <c r="L1465" s="625"/>
      <c r="M1465" s="625"/>
      <c r="N1465" s="625"/>
      <c r="O1465" s="625"/>
      <c r="P1465" s="625"/>
      <c r="Q1465" s="625"/>
      <c r="R1465" s="625"/>
      <c r="S1465" s="625"/>
      <c r="T1465" s="625"/>
      <c r="U1465" s="625"/>
      <c r="V1465" s="625"/>
      <c r="W1465" s="625"/>
      <c r="X1465" s="625"/>
      <c r="Y1465" s="625"/>
      <c r="Z1465" s="625"/>
      <c r="AA1465" s="625"/>
      <c r="AB1465" s="625"/>
      <c r="AC1465" s="625"/>
      <c r="AD1465" s="625"/>
      <c r="AE1465" s="625"/>
      <c r="AF1465" s="625"/>
      <c r="AG1465" s="625"/>
      <c r="AH1465" s="625"/>
      <c r="AI1465" s="625"/>
      <c r="AJ1465" s="625"/>
      <c r="AK1465" s="625"/>
      <c r="AL1465" s="625"/>
    </row>
    <row r="1466" spans="2:39" s="231" customFormat="1">
      <c r="B1466" s="3"/>
      <c r="C1466" s="3"/>
      <c r="D1466" s="3"/>
      <c r="E1466" s="18"/>
      <c r="F1466" s="268" t="s">
        <v>429</v>
      </c>
      <c r="G1466" s="268"/>
      <c r="H1466" s="268"/>
      <c r="I1466" s="268"/>
      <c r="J1466" s="268"/>
      <c r="K1466" s="268"/>
      <c r="L1466" s="268"/>
      <c r="M1466" s="268"/>
      <c r="N1466" s="268"/>
      <c r="O1466" s="268"/>
      <c r="P1466" s="268"/>
      <c r="Q1466" s="268"/>
      <c r="R1466" s="268"/>
      <c r="S1466" s="268"/>
      <c r="T1466" s="268"/>
      <c r="U1466" s="268"/>
      <c r="V1466" s="268"/>
      <c r="W1466" s="268"/>
      <c r="X1466" s="268"/>
      <c r="Y1466" s="268"/>
      <c r="Z1466" s="268"/>
      <c r="AA1466" s="268"/>
      <c r="AB1466" s="268"/>
      <c r="AC1466" s="268"/>
      <c r="AD1466" s="268"/>
      <c r="AE1466" s="268"/>
      <c r="AF1466" s="268"/>
      <c r="AG1466" s="268"/>
      <c r="AH1466" s="268"/>
      <c r="AI1466" s="268"/>
      <c r="AJ1466" s="268"/>
      <c r="AK1466" s="268"/>
      <c r="AL1466" s="268"/>
      <c r="AM1466" s="268"/>
    </row>
    <row r="1467" spans="2:39" s="231" customFormat="1" ht="14.1" customHeight="1">
      <c r="B1467" s="3"/>
      <c r="C1467" s="3"/>
      <c r="D1467" s="3"/>
      <c r="E1467" s="18"/>
      <c r="F1467" s="569" t="s">
        <v>430</v>
      </c>
      <c r="G1467" s="569"/>
      <c r="H1467" s="569"/>
      <c r="I1467" s="569"/>
      <c r="J1467" s="569"/>
      <c r="K1467" s="569"/>
      <c r="L1467" s="569"/>
      <c r="M1467" s="569"/>
      <c r="N1467" s="569"/>
      <c r="O1467" s="569"/>
      <c r="P1467" s="569"/>
      <c r="Q1467" s="569"/>
      <c r="R1467" s="569"/>
      <c r="S1467" s="569"/>
      <c r="T1467" s="569"/>
      <c r="U1467" s="569"/>
      <c r="V1467" s="569"/>
      <c r="W1467" s="569"/>
      <c r="X1467" s="569"/>
      <c r="Y1467" s="569"/>
      <c r="Z1467" s="569"/>
      <c r="AA1467" s="569"/>
      <c r="AB1467" s="569"/>
      <c r="AC1467" s="569"/>
      <c r="AD1467" s="569"/>
      <c r="AE1467" s="569"/>
      <c r="AF1467" s="569"/>
      <c r="AG1467" s="569"/>
      <c r="AH1467" s="569"/>
      <c r="AI1467" s="569"/>
      <c r="AJ1467" s="569"/>
      <c r="AK1467" s="569"/>
      <c r="AL1467" s="569"/>
      <c r="AM1467" s="249"/>
    </row>
    <row r="1468" spans="2:39" s="231" customFormat="1">
      <c r="B1468" s="3"/>
      <c r="C1468" s="3"/>
      <c r="D1468" s="3"/>
      <c r="E1468" s="18"/>
      <c r="F1468" s="569"/>
      <c r="G1468" s="569"/>
      <c r="H1468" s="569"/>
      <c r="I1468" s="569"/>
      <c r="J1468" s="569"/>
      <c r="K1468" s="569"/>
      <c r="L1468" s="569"/>
      <c r="M1468" s="569"/>
      <c r="N1468" s="569"/>
      <c r="O1468" s="569"/>
      <c r="P1468" s="569"/>
      <c r="Q1468" s="569"/>
      <c r="R1468" s="569"/>
      <c r="S1468" s="569"/>
      <c r="T1468" s="569"/>
      <c r="U1468" s="569"/>
      <c r="V1468" s="569"/>
      <c r="W1468" s="569"/>
      <c r="X1468" s="569"/>
      <c r="Y1468" s="569"/>
      <c r="Z1468" s="569"/>
      <c r="AA1468" s="569"/>
      <c r="AB1468" s="569"/>
      <c r="AC1468" s="569"/>
      <c r="AD1468" s="569"/>
      <c r="AE1468" s="569"/>
      <c r="AF1468" s="569"/>
      <c r="AG1468" s="569"/>
      <c r="AH1468" s="569"/>
      <c r="AI1468" s="569"/>
      <c r="AJ1468" s="569"/>
      <c r="AK1468" s="569"/>
      <c r="AL1468" s="569"/>
      <c r="AM1468" s="249"/>
    </row>
    <row r="1469" spans="2:39" s="231" customFormat="1">
      <c r="B1469" s="3"/>
      <c r="C1469" s="3"/>
      <c r="D1469" s="3"/>
      <c r="E1469" s="18"/>
      <c r="F1469" s="248"/>
      <c r="G1469" s="248"/>
      <c r="H1469" s="248"/>
      <c r="I1469" s="248"/>
      <c r="J1469" s="248"/>
      <c r="K1469" s="248"/>
      <c r="L1469" s="248"/>
      <c r="M1469" s="248"/>
      <c r="N1469" s="248"/>
      <c r="O1469" s="248"/>
      <c r="P1469" s="248"/>
      <c r="Q1469" s="248"/>
      <c r="R1469" s="248"/>
      <c r="S1469" s="248"/>
      <c r="T1469" s="248"/>
      <c r="U1469" s="248"/>
      <c r="V1469" s="248"/>
      <c r="W1469" s="248"/>
      <c r="X1469" s="248"/>
      <c r="Y1469" s="248"/>
      <c r="Z1469" s="248"/>
      <c r="AA1469" s="248"/>
      <c r="AB1469" s="248"/>
      <c r="AC1469" s="248"/>
      <c r="AD1469" s="248"/>
      <c r="AE1469" s="248"/>
      <c r="AF1469" s="248"/>
      <c r="AG1469" s="248"/>
      <c r="AH1469" s="248"/>
      <c r="AI1469" s="248"/>
      <c r="AJ1469" s="248"/>
      <c r="AK1469" s="248"/>
      <c r="AL1469" s="248"/>
      <c r="AM1469" s="248"/>
    </row>
    <row r="1470" spans="2:39" s="231" customFormat="1" ht="14.1" customHeight="1">
      <c r="B1470" s="3"/>
      <c r="C1470" s="3"/>
      <c r="D1470" s="3"/>
      <c r="E1470" s="18"/>
      <c r="F1470" s="275" t="s">
        <v>431</v>
      </c>
      <c r="G1470" s="275"/>
      <c r="H1470" s="275"/>
      <c r="I1470" s="275"/>
      <c r="J1470" s="275"/>
      <c r="K1470" s="275"/>
      <c r="L1470" s="275"/>
      <c r="M1470" s="275"/>
      <c r="N1470" s="275"/>
      <c r="O1470" s="275"/>
      <c r="P1470" s="275"/>
      <c r="Q1470" s="275"/>
      <c r="R1470" s="275"/>
      <c r="S1470" s="275"/>
      <c r="T1470" s="275"/>
      <c r="U1470" s="275"/>
      <c r="V1470" s="275"/>
      <c r="W1470" s="275"/>
      <c r="X1470" s="275"/>
      <c r="Y1470" s="275"/>
      <c r="Z1470" s="275"/>
      <c r="AA1470" s="275"/>
      <c r="AB1470" s="275"/>
      <c r="AC1470" s="275"/>
      <c r="AD1470" s="275"/>
      <c r="AE1470" s="275"/>
      <c r="AF1470" s="275"/>
      <c r="AG1470" s="275"/>
      <c r="AH1470" s="275"/>
      <c r="AI1470" s="275"/>
      <c r="AJ1470" s="275"/>
      <c r="AK1470" s="275"/>
      <c r="AL1470" s="275"/>
      <c r="AM1470" s="275"/>
    </row>
    <row r="1471" spans="2:39" s="231" customFormat="1">
      <c r="B1471" s="3"/>
      <c r="C1471" s="3"/>
      <c r="D1471" s="3"/>
      <c r="E1471" s="18"/>
      <c r="F1471" s="270"/>
      <c r="G1471" s="270"/>
      <c r="H1471" s="270"/>
      <c r="I1471" s="270"/>
      <c r="J1471" s="270"/>
      <c r="K1471" s="270"/>
      <c r="L1471" s="270"/>
      <c r="M1471" s="270"/>
      <c r="N1471" s="270"/>
      <c r="O1471" s="270"/>
      <c r="P1471" s="270"/>
      <c r="Q1471" s="270"/>
      <c r="R1471" s="270"/>
      <c r="S1471" s="270"/>
      <c r="T1471" s="270"/>
      <c r="U1471" s="270"/>
      <c r="V1471" s="270"/>
      <c r="W1471" s="270"/>
      <c r="X1471" s="270"/>
      <c r="Y1471" s="270"/>
      <c r="Z1471" s="270"/>
      <c r="AA1471" s="270"/>
      <c r="AB1471" s="270"/>
      <c r="AC1471" s="270"/>
      <c r="AD1471" s="270"/>
      <c r="AE1471" s="270"/>
      <c r="AF1471" s="270"/>
      <c r="AG1471" s="270"/>
      <c r="AH1471" s="270"/>
      <c r="AI1471" s="270"/>
      <c r="AJ1471" s="270"/>
      <c r="AK1471" s="270"/>
      <c r="AL1471" s="270"/>
      <c r="AM1471" s="270"/>
    </row>
    <row r="1472" spans="2:39" s="231" customFormat="1">
      <c r="B1472" s="3"/>
      <c r="C1472" s="3"/>
      <c r="D1472" s="3"/>
      <c r="E1472" s="18"/>
      <c r="F1472" s="18"/>
      <c r="G1472" s="18"/>
      <c r="H1472" s="18"/>
      <c r="I1472" s="18"/>
      <c r="J1472" s="18"/>
      <c r="K1472" s="18"/>
      <c r="L1472" s="18"/>
      <c r="M1472" s="18"/>
      <c r="N1472" s="18"/>
      <c r="O1472" s="18"/>
      <c r="P1472" s="18"/>
      <c r="Q1472" s="18"/>
      <c r="R1472" s="18"/>
      <c r="S1472" s="18"/>
      <c r="T1472" s="18"/>
      <c r="U1472" s="18"/>
      <c r="V1472" s="18"/>
      <c r="W1472" s="18"/>
      <c r="X1472" s="18"/>
      <c r="Y1472" s="18"/>
      <c r="Z1472" s="18"/>
      <c r="AA1472" s="18"/>
      <c r="AB1472" s="18"/>
      <c r="AC1472" s="18"/>
      <c r="AD1472" s="18"/>
      <c r="AE1472" s="18"/>
      <c r="AF1472" s="18"/>
      <c r="AG1472" s="18"/>
      <c r="AH1472" s="18"/>
      <c r="AI1472" s="18"/>
      <c r="AJ1472" s="18"/>
      <c r="AK1472" s="18"/>
      <c r="AL1472" s="18"/>
      <c r="AM1472" s="18"/>
    </row>
    <row r="1473" spans="2:39" s="231" customFormat="1" collapsed="1">
      <c r="B1473" s="3"/>
      <c r="C1473" s="3"/>
      <c r="D1473" s="3"/>
      <c r="F1473" s="669" t="str">
        <f>(MID(F1426,1,2)+1)&amp;"."</f>
        <v>19.</v>
      </c>
      <c r="G1473" s="669"/>
      <c r="H1473" s="268" t="s">
        <v>432</v>
      </c>
      <c r="I1473" s="268"/>
      <c r="J1473" s="268"/>
      <c r="K1473" s="268"/>
      <c r="L1473" s="268"/>
      <c r="M1473" s="268"/>
      <c r="N1473" s="268"/>
      <c r="O1473" s="268"/>
      <c r="P1473" s="268"/>
      <c r="Q1473" s="268"/>
      <c r="R1473" s="268"/>
      <c r="S1473" s="268"/>
      <c r="T1473" s="268"/>
      <c r="U1473" s="268"/>
      <c r="V1473" s="268"/>
      <c r="W1473" s="268"/>
      <c r="X1473" s="268"/>
      <c r="Y1473" s="268"/>
      <c r="Z1473" s="268"/>
      <c r="AA1473" s="268"/>
      <c r="AB1473" s="268"/>
      <c r="AC1473" s="268"/>
      <c r="AD1473" s="268"/>
      <c r="AE1473" s="268"/>
      <c r="AF1473" s="268"/>
      <c r="AG1473" s="268"/>
      <c r="AH1473" s="268"/>
      <c r="AI1473" s="268"/>
      <c r="AJ1473" s="268"/>
      <c r="AK1473" s="268"/>
      <c r="AL1473" s="268"/>
      <c r="AM1473" s="268"/>
    </row>
    <row r="1474" spans="2:39" s="231" customFormat="1">
      <c r="B1474" s="3"/>
      <c r="C1474" s="3"/>
      <c r="D1474" s="3"/>
    </row>
    <row r="1475" spans="2:39" s="231" customFormat="1" ht="12.75" customHeight="1">
      <c r="B1475" s="3"/>
      <c r="C1475" s="3"/>
      <c r="D1475" s="3"/>
      <c r="F1475" s="569" t="s">
        <v>433</v>
      </c>
      <c r="G1475" s="569"/>
      <c r="H1475" s="569"/>
      <c r="I1475" s="569"/>
      <c r="J1475" s="569"/>
      <c r="K1475" s="569"/>
      <c r="L1475" s="569"/>
      <c r="M1475" s="569"/>
      <c r="N1475" s="569"/>
      <c r="O1475" s="569"/>
      <c r="P1475" s="569"/>
      <c r="Q1475" s="569"/>
      <c r="R1475" s="569"/>
      <c r="S1475" s="569"/>
      <c r="T1475" s="569"/>
      <c r="U1475" s="569"/>
      <c r="V1475" s="569"/>
      <c r="W1475" s="569"/>
      <c r="X1475" s="569"/>
      <c r="Y1475" s="569"/>
      <c r="Z1475" s="569"/>
      <c r="AA1475" s="569"/>
      <c r="AB1475" s="569"/>
      <c r="AC1475" s="569"/>
      <c r="AD1475" s="569"/>
      <c r="AE1475" s="569"/>
      <c r="AF1475" s="569"/>
      <c r="AG1475" s="569"/>
      <c r="AH1475" s="569"/>
      <c r="AI1475" s="569"/>
      <c r="AJ1475" s="569"/>
      <c r="AK1475" s="569"/>
      <c r="AL1475" s="569"/>
      <c r="AM1475" s="273"/>
    </row>
    <row r="1476" spans="2:39" s="231" customFormat="1">
      <c r="B1476" s="3"/>
      <c r="C1476" s="3"/>
      <c r="D1476" s="3"/>
      <c r="F1476" s="569"/>
      <c r="G1476" s="569"/>
      <c r="H1476" s="569"/>
      <c r="I1476" s="569"/>
      <c r="J1476" s="569"/>
      <c r="K1476" s="569"/>
      <c r="L1476" s="569"/>
      <c r="M1476" s="569"/>
      <c r="N1476" s="569"/>
      <c r="O1476" s="569"/>
      <c r="P1476" s="569"/>
      <c r="Q1476" s="569"/>
      <c r="R1476" s="569"/>
      <c r="S1476" s="569"/>
      <c r="T1476" s="569"/>
      <c r="U1476" s="569"/>
      <c r="V1476" s="569"/>
      <c r="W1476" s="569"/>
      <c r="X1476" s="569"/>
      <c r="Y1476" s="569"/>
      <c r="Z1476" s="569"/>
      <c r="AA1476" s="569"/>
      <c r="AB1476" s="569"/>
      <c r="AC1476" s="569"/>
      <c r="AD1476" s="569"/>
      <c r="AE1476" s="569"/>
      <c r="AF1476" s="569"/>
      <c r="AG1476" s="569"/>
      <c r="AH1476" s="569"/>
      <c r="AI1476" s="569"/>
      <c r="AJ1476" s="569"/>
      <c r="AK1476" s="569"/>
      <c r="AL1476" s="569"/>
      <c r="AM1476" s="273"/>
    </row>
    <row r="1477" spans="2:39" s="231" customFormat="1" ht="16.5" customHeight="1">
      <c r="B1477" s="3"/>
      <c r="C1477" s="3"/>
      <c r="D1477" s="3"/>
      <c r="F1477" s="569"/>
      <c r="G1477" s="569"/>
      <c r="H1477" s="569"/>
      <c r="I1477" s="569"/>
      <c r="J1477" s="569"/>
      <c r="K1477" s="569"/>
      <c r="L1477" s="569"/>
      <c r="M1477" s="569"/>
      <c r="N1477" s="569"/>
      <c r="O1477" s="569"/>
      <c r="P1477" s="569"/>
      <c r="Q1477" s="569"/>
      <c r="R1477" s="569"/>
      <c r="S1477" s="569"/>
      <c r="T1477" s="569"/>
      <c r="U1477" s="569"/>
      <c r="V1477" s="569"/>
      <c r="W1477" s="569"/>
      <c r="X1477" s="569"/>
      <c r="Y1477" s="569"/>
      <c r="Z1477" s="569"/>
      <c r="AA1477" s="569"/>
      <c r="AB1477" s="569"/>
      <c r="AC1477" s="569"/>
      <c r="AD1477" s="569"/>
      <c r="AE1477" s="569"/>
      <c r="AF1477" s="569"/>
      <c r="AG1477" s="569"/>
      <c r="AH1477" s="569"/>
      <c r="AI1477" s="569"/>
      <c r="AJ1477" s="569"/>
      <c r="AK1477" s="569"/>
      <c r="AL1477" s="569"/>
      <c r="AM1477" s="273"/>
    </row>
    <row r="1478" spans="2:39" s="231" customFormat="1" ht="24.75" customHeight="1">
      <c r="B1478" s="3"/>
      <c r="C1478" s="3"/>
      <c r="D1478" s="3"/>
      <c r="F1478" s="569"/>
      <c r="G1478" s="569"/>
      <c r="H1478" s="569"/>
      <c r="I1478" s="569"/>
      <c r="J1478" s="569"/>
      <c r="K1478" s="569"/>
      <c r="L1478" s="569"/>
      <c r="M1478" s="569"/>
      <c r="N1478" s="569"/>
      <c r="O1478" s="569"/>
      <c r="P1478" s="569"/>
      <c r="Q1478" s="569"/>
      <c r="R1478" s="569"/>
      <c r="S1478" s="569"/>
      <c r="T1478" s="569"/>
      <c r="U1478" s="569"/>
      <c r="V1478" s="569"/>
      <c r="W1478" s="569"/>
      <c r="X1478" s="569"/>
      <c r="Y1478" s="569"/>
      <c r="Z1478" s="569"/>
      <c r="AA1478" s="569"/>
      <c r="AB1478" s="569"/>
      <c r="AC1478" s="569"/>
      <c r="AD1478" s="569"/>
      <c r="AE1478" s="569"/>
      <c r="AF1478" s="569"/>
      <c r="AG1478" s="569"/>
      <c r="AH1478" s="569"/>
      <c r="AI1478" s="569"/>
      <c r="AJ1478" s="569"/>
      <c r="AK1478" s="569"/>
      <c r="AL1478" s="569"/>
      <c r="AM1478" s="273"/>
    </row>
    <row r="1479" spans="2:39" s="231" customFormat="1">
      <c r="B1479" s="3"/>
      <c r="C1479" s="3"/>
      <c r="D1479" s="3"/>
      <c r="F1479" s="229"/>
      <c r="G1479" s="229"/>
      <c r="H1479" s="229"/>
      <c r="I1479" s="229"/>
      <c r="J1479" s="229"/>
      <c r="K1479" s="229"/>
      <c r="L1479" s="229"/>
      <c r="M1479" s="229"/>
      <c r="N1479" s="229"/>
      <c r="O1479" s="229"/>
      <c r="P1479" s="229"/>
      <c r="Q1479" s="229"/>
      <c r="R1479" s="229"/>
      <c r="S1479" s="229"/>
      <c r="T1479" s="229"/>
      <c r="U1479" s="229"/>
      <c r="V1479" s="229"/>
      <c r="W1479" s="229"/>
      <c r="X1479" s="229"/>
      <c r="Y1479" s="229"/>
      <c r="Z1479" s="229"/>
      <c r="AA1479" s="229"/>
      <c r="AB1479" s="229"/>
      <c r="AC1479" s="229"/>
      <c r="AD1479" s="229"/>
      <c r="AE1479" s="229"/>
      <c r="AF1479" s="229"/>
      <c r="AG1479" s="229"/>
      <c r="AH1479" s="229"/>
      <c r="AI1479" s="229"/>
      <c r="AJ1479" s="229"/>
      <c r="AK1479" s="229"/>
      <c r="AL1479" s="229"/>
      <c r="AM1479" s="229"/>
    </row>
    <row r="1480" spans="2:39" s="231" customFormat="1" ht="15.75" customHeight="1">
      <c r="B1480" s="3"/>
      <c r="C1480" s="3"/>
      <c r="D1480" s="3"/>
      <c r="F1480" s="569" t="s">
        <v>434</v>
      </c>
      <c r="G1480" s="569"/>
      <c r="H1480" s="569"/>
      <c r="I1480" s="569"/>
      <c r="J1480" s="569"/>
      <c r="K1480" s="569"/>
      <c r="L1480" s="569"/>
      <c r="M1480" s="569"/>
      <c r="N1480" s="569"/>
      <c r="O1480" s="569"/>
      <c r="P1480" s="569"/>
      <c r="Q1480" s="569"/>
      <c r="R1480" s="569"/>
      <c r="S1480" s="569"/>
      <c r="T1480" s="569"/>
      <c r="U1480" s="569"/>
      <c r="V1480" s="569"/>
      <c r="W1480" s="569"/>
      <c r="X1480" s="569"/>
      <c r="Y1480" s="569"/>
      <c r="Z1480" s="569"/>
      <c r="AA1480" s="569"/>
      <c r="AB1480" s="569"/>
      <c r="AC1480" s="569"/>
      <c r="AD1480" s="569"/>
      <c r="AE1480" s="569"/>
      <c r="AF1480" s="569"/>
      <c r="AG1480" s="569"/>
      <c r="AH1480" s="569"/>
      <c r="AI1480" s="569"/>
      <c r="AJ1480" s="569"/>
      <c r="AK1480" s="569"/>
      <c r="AL1480" s="569"/>
      <c r="AM1480" s="273"/>
    </row>
    <row r="1481" spans="2:39" s="231" customFormat="1">
      <c r="B1481" s="3"/>
      <c r="C1481" s="3"/>
      <c r="D1481" s="3"/>
      <c r="F1481" s="569"/>
      <c r="G1481" s="569"/>
      <c r="H1481" s="569"/>
      <c r="I1481" s="569"/>
      <c r="J1481" s="569"/>
      <c r="K1481" s="569"/>
      <c r="L1481" s="569"/>
      <c r="M1481" s="569"/>
      <c r="N1481" s="569"/>
      <c r="O1481" s="569"/>
      <c r="P1481" s="569"/>
      <c r="Q1481" s="569"/>
      <c r="R1481" s="569"/>
      <c r="S1481" s="569"/>
      <c r="T1481" s="569"/>
      <c r="U1481" s="569"/>
      <c r="V1481" s="569"/>
      <c r="W1481" s="569"/>
      <c r="X1481" s="569"/>
      <c r="Y1481" s="569"/>
      <c r="Z1481" s="569"/>
      <c r="AA1481" s="569"/>
      <c r="AB1481" s="569"/>
      <c r="AC1481" s="569"/>
      <c r="AD1481" s="569"/>
      <c r="AE1481" s="569"/>
      <c r="AF1481" s="569"/>
      <c r="AG1481" s="569"/>
      <c r="AH1481" s="569"/>
      <c r="AI1481" s="569"/>
      <c r="AJ1481" s="569"/>
      <c r="AK1481" s="569"/>
      <c r="AL1481" s="569"/>
      <c r="AM1481" s="273"/>
    </row>
    <row r="1482" spans="2:39" s="231" customFormat="1" ht="15" customHeight="1">
      <c r="B1482" s="3"/>
      <c r="C1482" s="3"/>
      <c r="D1482" s="3"/>
      <c r="F1482" s="569"/>
      <c r="G1482" s="569"/>
      <c r="H1482" s="569"/>
      <c r="I1482" s="569"/>
      <c r="J1482" s="569"/>
      <c r="K1482" s="569"/>
      <c r="L1482" s="569"/>
      <c r="M1482" s="569"/>
      <c r="N1482" s="569"/>
      <c r="O1482" s="569"/>
      <c r="P1482" s="569"/>
      <c r="Q1482" s="569"/>
      <c r="R1482" s="569"/>
      <c r="S1482" s="569"/>
      <c r="T1482" s="569"/>
      <c r="U1482" s="569"/>
      <c r="V1482" s="569"/>
      <c r="W1482" s="569"/>
      <c r="X1482" s="569"/>
      <c r="Y1482" s="569"/>
      <c r="Z1482" s="569"/>
      <c r="AA1482" s="569"/>
      <c r="AB1482" s="569"/>
      <c r="AC1482" s="569"/>
      <c r="AD1482" s="569"/>
      <c r="AE1482" s="569"/>
      <c r="AF1482" s="569"/>
      <c r="AG1482" s="569"/>
      <c r="AH1482" s="569"/>
      <c r="AI1482" s="569"/>
      <c r="AJ1482" s="569"/>
      <c r="AK1482" s="569"/>
      <c r="AL1482" s="569"/>
      <c r="AM1482" s="245"/>
    </row>
    <row r="1483" spans="2:39" s="231" customFormat="1" ht="12.75" customHeight="1">
      <c r="B1483" s="3"/>
      <c r="C1483" s="3"/>
      <c r="D1483" s="3"/>
      <c r="F1483" s="245"/>
      <c r="G1483" s="245"/>
      <c r="H1483" s="245"/>
      <c r="I1483" s="245"/>
      <c r="J1483" s="245"/>
      <c r="K1483" s="245"/>
      <c r="L1483" s="245"/>
      <c r="M1483" s="245"/>
      <c r="N1483" s="245"/>
      <c r="O1483" s="245"/>
      <c r="P1483" s="245"/>
      <c r="Q1483" s="245"/>
      <c r="R1483" s="245"/>
      <c r="S1483" s="245"/>
      <c r="T1483" s="245"/>
      <c r="U1483" s="245"/>
      <c r="V1483" s="245"/>
      <c r="W1483" s="245"/>
      <c r="X1483" s="245"/>
      <c r="Y1483" s="245"/>
      <c r="Z1483" s="245"/>
      <c r="AA1483" s="245"/>
      <c r="AB1483" s="245"/>
      <c r="AC1483" s="245"/>
      <c r="AD1483" s="245"/>
      <c r="AE1483" s="245"/>
      <c r="AF1483" s="245"/>
      <c r="AG1483" s="245"/>
      <c r="AH1483" s="245"/>
      <c r="AI1483" s="245"/>
      <c r="AJ1483" s="245"/>
      <c r="AK1483" s="245"/>
      <c r="AL1483" s="245"/>
      <c r="AM1483" s="245"/>
    </row>
    <row r="1484" spans="2:39" s="231" customFormat="1">
      <c r="B1484" s="3"/>
      <c r="C1484" s="3"/>
      <c r="D1484" s="3"/>
      <c r="F1484" s="341" t="s">
        <v>435</v>
      </c>
      <c r="G1484" s="341"/>
      <c r="H1484" s="341"/>
      <c r="I1484" s="341"/>
      <c r="J1484" s="341"/>
      <c r="K1484" s="341"/>
      <c r="L1484" s="341"/>
      <c r="M1484" s="341"/>
      <c r="N1484" s="341"/>
      <c r="O1484" s="341"/>
      <c r="P1484" s="341"/>
      <c r="Q1484" s="341"/>
      <c r="R1484" s="341"/>
      <c r="S1484" s="341"/>
      <c r="T1484" s="341"/>
      <c r="U1484" s="341"/>
      <c r="V1484" s="341"/>
      <c r="W1484" s="341"/>
      <c r="X1484" s="341"/>
      <c r="Y1484" s="341"/>
      <c r="Z1484" s="341"/>
      <c r="AA1484" s="341"/>
      <c r="AB1484" s="341"/>
      <c r="AC1484" s="341"/>
      <c r="AD1484" s="341"/>
      <c r="AE1484" s="341"/>
      <c r="AF1484" s="341"/>
      <c r="AG1484" s="341"/>
      <c r="AH1484" s="341"/>
      <c r="AI1484" s="341"/>
      <c r="AJ1484" s="341"/>
      <c r="AK1484" s="341"/>
      <c r="AL1484" s="341"/>
      <c r="AM1484" s="341"/>
    </row>
    <row r="1485" spans="2:39" s="231" customFormat="1" ht="12.75" customHeight="1">
      <c r="B1485" s="3"/>
      <c r="C1485" s="3"/>
      <c r="D1485" s="3"/>
      <c r="F1485" s="569" t="s">
        <v>436</v>
      </c>
      <c r="G1485" s="569"/>
      <c r="H1485" s="569"/>
      <c r="I1485" s="569"/>
      <c r="J1485" s="569"/>
      <c r="K1485" s="569"/>
      <c r="L1485" s="569"/>
      <c r="M1485" s="569"/>
      <c r="N1485" s="569"/>
      <c r="O1485" s="569"/>
      <c r="P1485" s="569"/>
      <c r="Q1485" s="569"/>
      <c r="R1485" s="569"/>
      <c r="S1485" s="569"/>
      <c r="T1485" s="569"/>
      <c r="U1485" s="569"/>
      <c r="V1485" s="569"/>
      <c r="W1485" s="569"/>
      <c r="X1485" s="569"/>
      <c r="Y1485" s="569"/>
      <c r="Z1485" s="569"/>
      <c r="AA1485" s="569"/>
      <c r="AB1485" s="569"/>
      <c r="AC1485" s="569"/>
      <c r="AD1485" s="569"/>
      <c r="AE1485" s="569"/>
      <c r="AF1485" s="569"/>
      <c r="AG1485" s="569"/>
      <c r="AH1485" s="569"/>
      <c r="AI1485" s="569"/>
      <c r="AJ1485" s="569"/>
      <c r="AK1485" s="569"/>
      <c r="AL1485" s="569"/>
      <c r="AM1485" s="273"/>
    </row>
    <row r="1486" spans="2:39" s="231" customFormat="1">
      <c r="B1486" s="3"/>
      <c r="C1486" s="3"/>
      <c r="D1486" s="3"/>
      <c r="F1486" s="569"/>
      <c r="G1486" s="569"/>
      <c r="H1486" s="569"/>
      <c r="I1486" s="569"/>
      <c r="J1486" s="569"/>
      <c r="K1486" s="569"/>
      <c r="L1486" s="569"/>
      <c r="M1486" s="569"/>
      <c r="N1486" s="569"/>
      <c r="O1486" s="569"/>
      <c r="P1486" s="569"/>
      <c r="Q1486" s="569"/>
      <c r="R1486" s="569"/>
      <c r="S1486" s="569"/>
      <c r="T1486" s="569"/>
      <c r="U1486" s="569"/>
      <c r="V1486" s="569"/>
      <c r="W1486" s="569"/>
      <c r="X1486" s="569"/>
      <c r="Y1486" s="569"/>
      <c r="Z1486" s="569"/>
      <c r="AA1486" s="569"/>
      <c r="AB1486" s="569"/>
      <c r="AC1486" s="569"/>
      <c r="AD1486" s="569"/>
      <c r="AE1486" s="569"/>
      <c r="AF1486" s="569"/>
      <c r="AG1486" s="569"/>
      <c r="AH1486" s="569"/>
      <c r="AI1486" s="569"/>
      <c r="AJ1486" s="569"/>
      <c r="AK1486" s="569"/>
      <c r="AL1486" s="569"/>
      <c r="AM1486" s="273"/>
    </row>
    <row r="1487" spans="2:39" s="231" customFormat="1">
      <c r="B1487" s="3"/>
      <c r="C1487" s="3"/>
      <c r="D1487" s="3"/>
      <c r="F1487" s="569"/>
      <c r="G1487" s="569"/>
      <c r="H1487" s="569"/>
      <c r="I1487" s="569"/>
      <c r="J1487" s="569"/>
      <c r="K1487" s="569"/>
      <c r="L1487" s="569"/>
      <c r="M1487" s="569"/>
      <c r="N1487" s="569"/>
      <c r="O1487" s="569"/>
      <c r="P1487" s="569"/>
      <c r="Q1487" s="569"/>
      <c r="R1487" s="569"/>
      <c r="S1487" s="569"/>
      <c r="T1487" s="569"/>
      <c r="U1487" s="569"/>
      <c r="V1487" s="569"/>
      <c r="W1487" s="569"/>
      <c r="X1487" s="569"/>
      <c r="Y1487" s="569"/>
      <c r="Z1487" s="569"/>
      <c r="AA1487" s="569"/>
      <c r="AB1487" s="569"/>
      <c r="AC1487" s="569"/>
      <c r="AD1487" s="569"/>
      <c r="AE1487" s="569"/>
      <c r="AF1487" s="569"/>
      <c r="AG1487" s="569"/>
      <c r="AH1487" s="569"/>
      <c r="AI1487" s="569"/>
      <c r="AJ1487" s="569"/>
      <c r="AK1487" s="569"/>
      <c r="AL1487" s="569"/>
      <c r="AM1487" s="273"/>
    </row>
    <row r="1488" spans="2:39" s="231" customFormat="1">
      <c r="B1488" s="3"/>
      <c r="C1488" s="3"/>
      <c r="D1488" s="3"/>
      <c r="F1488" s="569"/>
      <c r="G1488" s="569"/>
      <c r="H1488" s="569"/>
      <c r="I1488" s="569"/>
      <c r="J1488" s="569"/>
      <c r="K1488" s="569"/>
      <c r="L1488" s="569"/>
      <c r="M1488" s="569"/>
      <c r="N1488" s="569"/>
      <c r="O1488" s="569"/>
      <c r="P1488" s="569"/>
      <c r="Q1488" s="569"/>
      <c r="R1488" s="569"/>
      <c r="S1488" s="569"/>
      <c r="T1488" s="569"/>
      <c r="U1488" s="569"/>
      <c r="V1488" s="569"/>
      <c r="W1488" s="569"/>
      <c r="X1488" s="569"/>
      <c r="Y1488" s="569"/>
      <c r="Z1488" s="569"/>
      <c r="AA1488" s="569"/>
      <c r="AB1488" s="569"/>
      <c r="AC1488" s="569"/>
      <c r="AD1488" s="569"/>
      <c r="AE1488" s="569"/>
      <c r="AF1488" s="569"/>
      <c r="AG1488" s="569"/>
      <c r="AH1488" s="569"/>
      <c r="AI1488" s="569"/>
      <c r="AJ1488" s="569"/>
      <c r="AK1488" s="569"/>
      <c r="AL1488" s="569"/>
      <c r="AM1488" s="229"/>
    </row>
    <row r="1489" spans="2:39" s="231" customFormat="1">
      <c r="B1489" s="3"/>
      <c r="C1489" s="3"/>
      <c r="D1489" s="3"/>
    </row>
    <row r="1490" spans="2:39" s="231" customFormat="1">
      <c r="B1490" s="3"/>
      <c r="C1490" s="3"/>
      <c r="D1490" s="3"/>
      <c r="F1490" s="669" t="str">
        <f>(MID(F1473,1,2)+1)&amp;"."</f>
        <v>20.</v>
      </c>
      <c r="G1490" s="669"/>
      <c r="H1490" s="268" t="s">
        <v>437</v>
      </c>
      <c r="I1490" s="268"/>
      <c r="J1490" s="268"/>
      <c r="K1490" s="268"/>
      <c r="L1490" s="268"/>
      <c r="M1490" s="268"/>
      <c r="N1490" s="268"/>
      <c r="O1490" s="268"/>
      <c r="P1490" s="268"/>
      <c r="Q1490" s="268"/>
      <c r="R1490" s="268"/>
      <c r="S1490" s="268"/>
      <c r="T1490" s="268"/>
      <c r="U1490" s="268"/>
      <c r="V1490" s="268"/>
      <c r="W1490" s="268"/>
      <c r="X1490" s="268"/>
      <c r="Y1490" s="268"/>
      <c r="Z1490" s="268"/>
      <c r="AA1490" s="268"/>
      <c r="AB1490" s="268"/>
      <c r="AC1490" s="268"/>
      <c r="AD1490" s="268"/>
      <c r="AE1490" s="268"/>
      <c r="AF1490" s="268"/>
      <c r="AG1490" s="268"/>
      <c r="AH1490" s="268"/>
      <c r="AI1490" s="268"/>
      <c r="AJ1490" s="268"/>
      <c r="AK1490" s="268"/>
      <c r="AL1490" s="268"/>
      <c r="AM1490" s="268"/>
    </row>
    <row r="1491" spans="2:39" s="231" customFormat="1">
      <c r="B1491" s="3"/>
      <c r="C1491" s="3"/>
      <c r="D1491" s="3"/>
      <c r="F1491" s="234"/>
      <c r="G1491" s="234"/>
      <c r="H1491" s="235"/>
      <c r="I1491" s="235"/>
      <c r="J1491" s="235"/>
      <c r="K1491" s="235"/>
      <c r="L1491" s="235"/>
      <c r="M1491" s="235"/>
      <c r="N1491" s="235"/>
      <c r="O1491" s="235"/>
      <c r="P1491" s="235"/>
      <c r="Q1491" s="235"/>
      <c r="R1491" s="235"/>
      <c r="S1491" s="235"/>
      <c r="T1491" s="235"/>
      <c r="U1491" s="235"/>
      <c r="V1491" s="235"/>
      <c r="W1491" s="235"/>
      <c r="X1491" s="235"/>
      <c r="Y1491" s="235"/>
      <c r="Z1491" s="235"/>
      <c r="AA1491" s="235"/>
      <c r="AB1491" s="235"/>
      <c r="AC1491" s="235"/>
      <c r="AD1491" s="235"/>
      <c r="AE1491" s="235"/>
      <c r="AF1491" s="235"/>
      <c r="AG1491" s="235"/>
      <c r="AH1491" s="235"/>
      <c r="AI1491" s="235"/>
      <c r="AJ1491" s="235"/>
      <c r="AK1491" s="235"/>
      <c r="AL1491" s="235"/>
      <c r="AM1491" s="235"/>
    </row>
    <row r="1492" spans="2:39" s="231" customFormat="1" ht="14.1" customHeight="1">
      <c r="B1492" s="3"/>
      <c r="C1492" s="3"/>
      <c r="D1492" s="3"/>
      <c r="F1492" s="569" t="s">
        <v>438</v>
      </c>
      <c r="G1492" s="569"/>
      <c r="H1492" s="569"/>
      <c r="I1492" s="569"/>
      <c r="J1492" s="569"/>
      <c r="K1492" s="569"/>
      <c r="L1492" s="569"/>
      <c r="M1492" s="569"/>
      <c r="N1492" s="569"/>
      <c r="O1492" s="569"/>
      <c r="P1492" s="569"/>
      <c r="Q1492" s="569"/>
      <c r="R1492" s="569"/>
      <c r="S1492" s="569"/>
      <c r="T1492" s="569"/>
      <c r="U1492" s="569"/>
      <c r="V1492" s="569"/>
      <c r="W1492" s="569"/>
      <c r="X1492" s="569"/>
      <c r="Y1492" s="569"/>
      <c r="Z1492" s="569"/>
      <c r="AA1492" s="569"/>
      <c r="AB1492" s="569"/>
      <c r="AC1492" s="569"/>
      <c r="AD1492" s="569"/>
      <c r="AE1492" s="569"/>
      <c r="AF1492" s="569"/>
      <c r="AG1492" s="569"/>
      <c r="AH1492" s="569"/>
      <c r="AI1492" s="569"/>
      <c r="AJ1492" s="569"/>
      <c r="AK1492" s="569"/>
      <c r="AL1492" s="569"/>
      <c r="AM1492" s="249"/>
    </row>
    <row r="1493" spans="2:39" s="231" customFormat="1">
      <c r="B1493" s="3"/>
      <c r="C1493" s="3"/>
      <c r="D1493" s="3"/>
      <c r="F1493" s="569"/>
      <c r="G1493" s="569"/>
      <c r="H1493" s="569"/>
      <c r="I1493" s="569"/>
      <c r="J1493" s="569"/>
      <c r="K1493" s="569"/>
      <c r="L1493" s="569"/>
      <c r="M1493" s="569"/>
      <c r="N1493" s="569"/>
      <c r="O1493" s="569"/>
      <c r="P1493" s="569"/>
      <c r="Q1493" s="569"/>
      <c r="R1493" s="569"/>
      <c r="S1493" s="569"/>
      <c r="T1493" s="569"/>
      <c r="U1493" s="569"/>
      <c r="V1493" s="569"/>
      <c r="W1493" s="569"/>
      <c r="X1493" s="569"/>
      <c r="Y1493" s="569"/>
      <c r="Z1493" s="569"/>
      <c r="AA1493" s="569"/>
      <c r="AB1493" s="569"/>
      <c r="AC1493" s="569"/>
      <c r="AD1493" s="569"/>
      <c r="AE1493" s="569"/>
      <c r="AF1493" s="569"/>
      <c r="AG1493" s="569"/>
      <c r="AH1493" s="569"/>
      <c r="AI1493" s="569"/>
      <c r="AJ1493" s="569"/>
      <c r="AK1493" s="569"/>
      <c r="AL1493" s="569"/>
      <c r="AM1493" s="249"/>
    </row>
    <row r="1494" spans="2:39" s="231" customFormat="1">
      <c r="B1494" s="3"/>
      <c r="C1494" s="3"/>
      <c r="D1494" s="3"/>
      <c r="F1494" s="569"/>
      <c r="G1494" s="569"/>
      <c r="H1494" s="569"/>
      <c r="I1494" s="569"/>
      <c r="J1494" s="569"/>
      <c r="K1494" s="569"/>
      <c r="L1494" s="569"/>
      <c r="M1494" s="569"/>
      <c r="N1494" s="569"/>
      <c r="O1494" s="569"/>
      <c r="P1494" s="569"/>
      <c r="Q1494" s="569"/>
      <c r="R1494" s="569"/>
      <c r="S1494" s="569"/>
      <c r="T1494" s="569"/>
      <c r="U1494" s="569"/>
      <c r="V1494" s="569"/>
      <c r="W1494" s="569"/>
      <c r="X1494" s="569"/>
      <c r="Y1494" s="569"/>
      <c r="Z1494" s="569"/>
      <c r="AA1494" s="569"/>
      <c r="AB1494" s="569"/>
      <c r="AC1494" s="569"/>
      <c r="AD1494" s="569"/>
      <c r="AE1494" s="569"/>
      <c r="AF1494" s="569"/>
      <c r="AG1494" s="569"/>
      <c r="AH1494" s="569"/>
      <c r="AI1494" s="569"/>
      <c r="AJ1494" s="569"/>
      <c r="AK1494" s="569"/>
      <c r="AL1494" s="569"/>
      <c r="AM1494" s="249"/>
    </row>
    <row r="1495" spans="2:39" s="231" customFormat="1">
      <c r="B1495" s="3"/>
      <c r="C1495" s="3"/>
      <c r="D1495" s="3"/>
      <c r="F1495" s="569"/>
      <c r="G1495" s="569"/>
      <c r="H1495" s="569"/>
      <c r="I1495" s="569"/>
      <c r="J1495" s="569"/>
      <c r="K1495" s="569"/>
      <c r="L1495" s="569"/>
      <c r="M1495" s="569"/>
      <c r="N1495" s="569"/>
      <c r="O1495" s="569"/>
      <c r="P1495" s="569"/>
      <c r="Q1495" s="569"/>
      <c r="R1495" s="569"/>
      <c r="S1495" s="569"/>
      <c r="T1495" s="569"/>
      <c r="U1495" s="569"/>
      <c r="V1495" s="569"/>
      <c r="W1495" s="569"/>
      <c r="X1495" s="569"/>
      <c r="Y1495" s="569"/>
      <c r="Z1495" s="569"/>
      <c r="AA1495" s="569"/>
      <c r="AB1495" s="569"/>
      <c r="AC1495" s="569"/>
      <c r="AD1495" s="569"/>
      <c r="AE1495" s="569"/>
      <c r="AF1495" s="569"/>
      <c r="AG1495" s="569"/>
      <c r="AH1495" s="569"/>
      <c r="AI1495" s="569"/>
      <c r="AJ1495" s="569"/>
      <c r="AK1495" s="569"/>
      <c r="AL1495" s="569"/>
      <c r="AM1495" s="249"/>
    </row>
    <row r="1496" spans="2:39" s="231" customFormat="1" ht="30.75" customHeight="1">
      <c r="B1496" s="3"/>
      <c r="C1496" s="3"/>
      <c r="D1496" s="3"/>
      <c r="F1496" s="569"/>
      <c r="G1496" s="569"/>
      <c r="H1496" s="569"/>
      <c r="I1496" s="569"/>
      <c r="J1496" s="569"/>
      <c r="K1496" s="569"/>
      <c r="L1496" s="569"/>
      <c r="M1496" s="569"/>
      <c r="N1496" s="569"/>
      <c r="O1496" s="569"/>
      <c r="P1496" s="569"/>
      <c r="Q1496" s="569"/>
      <c r="R1496" s="569"/>
      <c r="S1496" s="569"/>
      <c r="T1496" s="569"/>
      <c r="U1496" s="569"/>
      <c r="V1496" s="569"/>
      <c r="W1496" s="569"/>
      <c r="X1496" s="569"/>
      <c r="Y1496" s="569"/>
      <c r="Z1496" s="569"/>
      <c r="AA1496" s="569"/>
      <c r="AB1496" s="569"/>
      <c r="AC1496" s="569"/>
      <c r="AD1496" s="569"/>
      <c r="AE1496" s="569"/>
      <c r="AF1496" s="569"/>
      <c r="AG1496" s="569"/>
      <c r="AH1496" s="569"/>
      <c r="AI1496" s="569"/>
      <c r="AJ1496" s="569"/>
      <c r="AK1496" s="569"/>
      <c r="AL1496" s="569"/>
      <c r="AM1496" s="249"/>
    </row>
    <row r="1497" spans="2:39" s="361" customFormat="1" ht="12.75" customHeight="1">
      <c r="F1497" s="354"/>
      <c r="G1497" s="354"/>
      <c r="H1497" s="354"/>
      <c r="I1497" s="354"/>
      <c r="J1497" s="354"/>
      <c r="K1497" s="354"/>
      <c r="L1497" s="354"/>
      <c r="M1497" s="354"/>
      <c r="N1497" s="354"/>
      <c r="O1497" s="354"/>
      <c r="P1497" s="354"/>
      <c r="Q1497" s="354"/>
      <c r="R1497" s="354"/>
      <c r="S1497" s="354"/>
      <c r="T1497" s="354"/>
      <c r="U1497" s="354"/>
      <c r="V1497" s="354"/>
      <c r="W1497" s="354"/>
      <c r="X1497" s="354"/>
      <c r="Y1497" s="354"/>
      <c r="Z1497" s="354"/>
      <c r="AA1497" s="354"/>
      <c r="AB1497" s="354"/>
      <c r="AC1497" s="354"/>
      <c r="AD1497" s="354"/>
      <c r="AE1497" s="354"/>
      <c r="AF1497" s="354"/>
      <c r="AG1497" s="354"/>
      <c r="AH1497" s="354"/>
      <c r="AI1497" s="354"/>
      <c r="AJ1497" s="354"/>
      <c r="AK1497" s="354"/>
      <c r="AL1497" s="354"/>
      <c r="AM1497" s="360"/>
    </row>
    <row r="1498" spans="2:39" s="361" customFormat="1" ht="20.25" customHeight="1">
      <c r="F1498" s="354"/>
      <c r="G1498" s="354"/>
      <c r="H1498" s="354"/>
      <c r="I1498" s="354"/>
      <c r="J1498" s="354"/>
      <c r="K1498" s="354"/>
      <c r="L1498" s="354"/>
      <c r="M1498" s="354"/>
      <c r="N1498" s="354"/>
      <c r="O1498" s="354"/>
      <c r="P1498" s="354"/>
      <c r="Q1498" s="354"/>
      <c r="R1498" s="354"/>
      <c r="S1498" s="354"/>
      <c r="T1498" s="354"/>
      <c r="U1498" s="354"/>
      <c r="V1498" s="354"/>
      <c r="W1498" s="354"/>
      <c r="X1498" s="354"/>
      <c r="Y1498" s="354"/>
      <c r="Z1498" s="354"/>
      <c r="AA1498" s="354"/>
      <c r="AB1498" s="354"/>
      <c r="AC1498" s="354"/>
      <c r="AD1498" s="354"/>
      <c r="AE1498" s="354"/>
      <c r="AF1498" s="354"/>
      <c r="AG1498" s="354"/>
      <c r="AH1498" s="354"/>
      <c r="AI1498" s="354"/>
      <c r="AJ1498" s="354"/>
      <c r="AK1498" s="354"/>
      <c r="AL1498" s="354"/>
      <c r="AM1498" s="360"/>
    </row>
    <row r="1499" spans="2:39" s="361" customFormat="1" ht="14.25" customHeight="1">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358" t="s">
        <v>24</v>
      </c>
      <c r="AK1499" s="612">
        <f>AK1435+1</f>
        <v>22</v>
      </c>
      <c r="AL1499" s="612"/>
      <c r="AM1499" s="358" t="s">
        <v>24</v>
      </c>
    </row>
    <row r="1500" spans="2:39" s="361" customFormat="1" ht="14.25" customHeight="1">
      <c r="F1500" s="354"/>
      <c r="G1500" s="354"/>
      <c r="H1500" s="354"/>
      <c r="I1500" s="354"/>
      <c r="J1500" s="354"/>
      <c r="K1500" s="354"/>
      <c r="L1500" s="354"/>
      <c r="M1500" s="354"/>
      <c r="N1500" s="354"/>
      <c r="O1500" s="354"/>
      <c r="P1500" s="354"/>
      <c r="Q1500" s="354"/>
      <c r="R1500" s="354"/>
      <c r="S1500" s="354"/>
      <c r="T1500" s="354"/>
      <c r="U1500" s="354"/>
      <c r="V1500" s="354"/>
      <c r="W1500" s="354"/>
      <c r="X1500" s="354"/>
      <c r="Y1500" s="354"/>
      <c r="Z1500" s="354"/>
      <c r="AA1500" s="354"/>
      <c r="AB1500" s="354"/>
      <c r="AC1500" s="354"/>
      <c r="AD1500" s="354"/>
      <c r="AE1500" s="354"/>
      <c r="AF1500" s="354"/>
      <c r="AG1500" s="354"/>
      <c r="AH1500" s="354"/>
      <c r="AI1500" s="354"/>
      <c r="AJ1500" s="354"/>
      <c r="AK1500" s="354"/>
      <c r="AL1500" s="354"/>
      <c r="AM1500" s="360"/>
    </row>
    <row r="1501" spans="2:39" s="361" customFormat="1" ht="14.25" customHeight="1">
      <c r="F1501" s="354"/>
      <c r="G1501" s="354"/>
      <c r="H1501" s="354"/>
      <c r="I1501" s="354"/>
      <c r="J1501" s="354"/>
      <c r="K1501" s="354"/>
      <c r="L1501" s="354"/>
      <c r="M1501" s="354"/>
      <c r="N1501" s="354"/>
      <c r="O1501" s="354"/>
      <c r="P1501" s="354"/>
      <c r="Q1501" s="354"/>
      <c r="R1501" s="354"/>
      <c r="S1501" s="354"/>
      <c r="T1501" s="354"/>
      <c r="U1501" s="354"/>
      <c r="V1501" s="354"/>
      <c r="W1501" s="354"/>
      <c r="X1501" s="354"/>
      <c r="Y1501" s="354"/>
      <c r="Z1501" s="354"/>
      <c r="AA1501" s="354"/>
      <c r="AB1501" s="354"/>
      <c r="AC1501" s="354"/>
      <c r="AD1501" s="354"/>
      <c r="AE1501" s="354"/>
      <c r="AF1501" s="354"/>
      <c r="AG1501" s="354"/>
      <c r="AH1501" s="354"/>
      <c r="AI1501" s="354"/>
      <c r="AJ1501" s="354"/>
      <c r="AK1501" s="354"/>
      <c r="AL1501" s="354"/>
      <c r="AM1501" s="360"/>
    </row>
    <row r="1502" spans="2:39" s="361" customFormat="1" ht="14.25" customHeight="1">
      <c r="E1502" s="265" t="str">
        <f>UPPER($Y$28)</f>
        <v>ПТ ЛОМБАРД "МЕРКУРІЙ"</v>
      </c>
      <c r="F1502" s="265"/>
      <c r="G1502" s="265"/>
      <c r="H1502" s="265"/>
      <c r="I1502" s="265"/>
      <c r="J1502" s="265"/>
      <c r="K1502" s="265"/>
      <c r="L1502" s="265"/>
      <c r="M1502" s="265"/>
      <c r="N1502" s="265"/>
      <c r="O1502" s="265"/>
      <c r="P1502" s="265"/>
      <c r="Q1502" s="265"/>
      <c r="R1502" s="265"/>
      <c r="S1502" s="265"/>
      <c r="T1502" s="265"/>
      <c r="U1502" s="265"/>
      <c r="V1502" s="265"/>
      <c r="W1502" s="265"/>
      <c r="X1502" s="265"/>
      <c r="Y1502" s="265"/>
      <c r="Z1502" s="265"/>
      <c r="AA1502" s="265"/>
      <c r="AB1502" s="265"/>
      <c r="AC1502" s="265"/>
      <c r="AD1502" s="265"/>
      <c r="AE1502" s="265"/>
      <c r="AF1502" s="265"/>
      <c r="AG1502" s="265"/>
      <c r="AH1502" s="265"/>
      <c r="AI1502" s="265"/>
      <c r="AJ1502" s="265"/>
      <c r="AK1502" s="265"/>
      <c r="AL1502" s="265"/>
      <c r="AM1502" s="265"/>
    </row>
    <row r="1503" spans="2:39" s="361" customFormat="1" ht="14.25" customHeight="1">
      <c r="E1503" s="269" t="s">
        <v>143</v>
      </c>
      <c r="F1503" s="269"/>
      <c r="G1503" s="269"/>
      <c r="H1503" s="269"/>
      <c r="I1503" s="269"/>
      <c r="J1503" s="269"/>
      <c r="K1503" s="269"/>
      <c r="L1503" s="269"/>
      <c r="M1503" s="269"/>
      <c r="N1503" s="269"/>
      <c r="O1503" s="269"/>
      <c r="P1503" s="269"/>
      <c r="Q1503" s="269"/>
      <c r="R1503" s="269"/>
      <c r="S1503" s="269"/>
      <c r="T1503" s="269"/>
      <c r="U1503" s="269"/>
      <c r="V1503" s="269"/>
      <c r="W1503" s="269"/>
      <c r="X1503" s="269"/>
      <c r="Y1503" s="269"/>
      <c r="Z1503" s="269"/>
      <c r="AA1503" s="269"/>
      <c r="AB1503" s="269"/>
      <c r="AC1503" s="269"/>
      <c r="AD1503" s="269"/>
      <c r="AE1503" s="269"/>
      <c r="AF1503" s="269"/>
      <c r="AG1503" s="269"/>
      <c r="AH1503" s="269"/>
      <c r="AI1503" s="269"/>
      <c r="AJ1503" s="269"/>
      <c r="AK1503" s="269"/>
      <c r="AL1503" s="269"/>
      <c r="AM1503" s="269"/>
    </row>
    <row r="1504" spans="2:39" s="361" customFormat="1" ht="14.25" customHeight="1">
      <c r="E1504" s="269" t="str">
        <f>$E$274</f>
        <v>ЗА РІК, ЩО ЗАКІНЧИВСЯ 31 ГРУДНЯ 2020 РОКУ</v>
      </c>
      <c r="F1504" s="269"/>
      <c r="G1504" s="269"/>
      <c r="H1504" s="269"/>
      <c r="I1504" s="269"/>
      <c r="J1504" s="269"/>
      <c r="K1504" s="269"/>
      <c r="L1504" s="269"/>
      <c r="M1504" s="269"/>
      <c r="N1504" s="269"/>
      <c r="O1504" s="269"/>
      <c r="P1504" s="269"/>
      <c r="Q1504" s="269"/>
      <c r="R1504" s="269"/>
      <c r="S1504" s="269"/>
      <c r="T1504" s="269"/>
      <c r="U1504" s="269"/>
      <c r="V1504" s="269"/>
      <c r="W1504" s="269"/>
      <c r="X1504" s="269"/>
      <c r="Y1504" s="269"/>
      <c r="Z1504" s="269"/>
      <c r="AA1504" s="269"/>
      <c r="AB1504" s="269"/>
      <c r="AC1504" s="269"/>
      <c r="AD1504" s="269"/>
      <c r="AE1504" s="269"/>
      <c r="AF1504" s="269"/>
      <c r="AG1504" s="269"/>
      <c r="AH1504" s="269"/>
      <c r="AI1504" s="269"/>
      <c r="AJ1504" s="269"/>
      <c r="AK1504" s="269"/>
      <c r="AL1504" s="269"/>
      <c r="AM1504" s="269"/>
    </row>
    <row r="1505" spans="2:39" s="361" customFormat="1" ht="14.25" customHeight="1">
      <c r="E1505" s="244" t="str">
        <f>$E$209</f>
        <v>(в тисячах гривень, якщо не вказано інше)</v>
      </c>
      <c r="F1505" s="244"/>
      <c r="G1505" s="244"/>
      <c r="H1505" s="244"/>
      <c r="I1505" s="244"/>
      <c r="J1505" s="244"/>
      <c r="K1505" s="244"/>
      <c r="L1505" s="244"/>
      <c r="M1505" s="244"/>
      <c r="N1505" s="244"/>
      <c r="O1505" s="244"/>
      <c r="P1505" s="244"/>
      <c r="Q1505" s="244"/>
      <c r="R1505" s="244"/>
      <c r="S1505" s="244"/>
      <c r="T1505" s="244"/>
      <c r="U1505" s="244"/>
      <c r="V1505" s="244"/>
      <c r="W1505" s="244"/>
      <c r="X1505" s="244"/>
      <c r="Y1505" s="244"/>
      <c r="Z1505" s="244"/>
      <c r="AA1505" s="244"/>
      <c r="AB1505" s="244"/>
      <c r="AC1505" s="244"/>
      <c r="AD1505" s="244"/>
      <c r="AE1505" s="244"/>
      <c r="AF1505" s="244"/>
      <c r="AG1505" s="244"/>
      <c r="AH1505" s="244"/>
      <c r="AI1505" s="244"/>
      <c r="AJ1505" s="244"/>
      <c r="AK1505" s="244"/>
      <c r="AL1505" s="244"/>
      <c r="AM1505" s="244"/>
    </row>
    <row r="1506" spans="2:39" s="361" customFormat="1" ht="14.25" customHeight="1">
      <c r="F1506" s="354"/>
      <c r="G1506" s="354"/>
      <c r="H1506" s="354"/>
      <c r="I1506" s="354"/>
      <c r="J1506" s="354"/>
      <c r="K1506" s="354"/>
      <c r="L1506" s="354"/>
      <c r="M1506" s="354"/>
      <c r="N1506" s="354"/>
      <c r="O1506" s="354"/>
      <c r="P1506" s="354"/>
      <c r="Q1506" s="354"/>
      <c r="R1506" s="354"/>
      <c r="S1506" s="354"/>
      <c r="T1506" s="354"/>
      <c r="U1506" s="354"/>
      <c r="V1506" s="354"/>
      <c r="W1506" s="354"/>
      <c r="X1506" s="354"/>
      <c r="Y1506" s="354"/>
      <c r="Z1506" s="354"/>
      <c r="AA1506" s="354"/>
      <c r="AB1506" s="354"/>
      <c r="AC1506" s="354"/>
      <c r="AD1506" s="354"/>
      <c r="AE1506" s="354"/>
      <c r="AF1506" s="354"/>
      <c r="AG1506" s="354"/>
      <c r="AH1506" s="354"/>
      <c r="AI1506" s="354"/>
      <c r="AJ1506" s="354"/>
      <c r="AK1506" s="354"/>
      <c r="AL1506" s="354"/>
      <c r="AM1506" s="360"/>
    </row>
    <row r="1507" spans="2:39" s="231" customFormat="1">
      <c r="B1507" s="3"/>
      <c r="C1507" s="3"/>
      <c r="D1507" s="1"/>
      <c r="F1507" s="314" t="s">
        <v>439</v>
      </c>
      <c r="G1507" s="314"/>
      <c r="H1507" s="314"/>
      <c r="I1507" s="314"/>
      <c r="J1507" s="314"/>
      <c r="K1507" s="314"/>
      <c r="L1507" s="314"/>
      <c r="M1507" s="314"/>
      <c r="N1507" s="314"/>
      <c r="O1507" s="314"/>
      <c r="P1507" s="314"/>
      <c r="Q1507" s="314"/>
      <c r="R1507" s="314"/>
      <c r="S1507" s="314"/>
      <c r="T1507" s="314"/>
      <c r="U1507" s="314"/>
      <c r="V1507" s="314"/>
      <c r="W1507" s="314"/>
      <c r="X1507" s="314"/>
      <c r="Y1507" s="314"/>
      <c r="Z1507" s="314"/>
      <c r="AA1507" s="314"/>
      <c r="AB1507" s="314"/>
      <c r="AC1507" s="314"/>
      <c r="AD1507" s="314"/>
      <c r="AE1507" s="314"/>
      <c r="AF1507" s="314"/>
      <c r="AG1507" s="314"/>
      <c r="AH1507" s="314"/>
      <c r="AI1507" s="314"/>
      <c r="AJ1507" s="314"/>
      <c r="AK1507" s="314"/>
      <c r="AL1507" s="314"/>
      <c r="AM1507" s="314"/>
    </row>
    <row r="1508" spans="2:39" s="231" customFormat="1" ht="14.1" customHeight="1">
      <c r="B1508" s="3"/>
      <c r="C1508" s="3"/>
      <c r="D1508" s="1"/>
      <c r="F1508" s="569" t="s">
        <v>440</v>
      </c>
      <c r="G1508" s="569"/>
      <c r="H1508" s="569"/>
      <c r="I1508" s="569"/>
      <c r="J1508" s="569"/>
      <c r="K1508" s="569"/>
      <c r="L1508" s="569"/>
      <c r="M1508" s="569"/>
      <c r="N1508" s="569"/>
      <c r="O1508" s="569"/>
      <c r="P1508" s="569"/>
      <c r="Q1508" s="569"/>
      <c r="R1508" s="569"/>
      <c r="S1508" s="569"/>
      <c r="T1508" s="569"/>
      <c r="U1508" s="569"/>
      <c r="V1508" s="569"/>
      <c r="W1508" s="569"/>
      <c r="X1508" s="569"/>
      <c r="Y1508" s="569"/>
      <c r="Z1508" s="569"/>
      <c r="AA1508" s="569"/>
      <c r="AB1508" s="569"/>
      <c r="AC1508" s="569"/>
      <c r="AD1508" s="569"/>
      <c r="AE1508" s="569"/>
      <c r="AF1508" s="569"/>
      <c r="AG1508" s="569"/>
      <c r="AH1508" s="569"/>
      <c r="AI1508" s="569"/>
      <c r="AJ1508" s="569"/>
      <c r="AK1508" s="569"/>
      <c r="AL1508" s="569"/>
      <c r="AM1508" s="249"/>
    </row>
    <row r="1509" spans="2:39" s="231" customFormat="1">
      <c r="B1509" s="3"/>
      <c r="C1509" s="3"/>
      <c r="D1509" s="1"/>
      <c r="F1509" s="569"/>
      <c r="G1509" s="569"/>
      <c r="H1509" s="569"/>
      <c r="I1509" s="569"/>
      <c r="J1509" s="569"/>
      <c r="K1509" s="569"/>
      <c r="L1509" s="569"/>
      <c r="M1509" s="569"/>
      <c r="N1509" s="569"/>
      <c r="O1509" s="569"/>
      <c r="P1509" s="569"/>
      <c r="Q1509" s="569"/>
      <c r="R1509" s="569"/>
      <c r="S1509" s="569"/>
      <c r="T1509" s="569"/>
      <c r="U1509" s="569"/>
      <c r="V1509" s="569"/>
      <c r="W1509" s="569"/>
      <c r="X1509" s="569"/>
      <c r="Y1509" s="569"/>
      <c r="Z1509" s="569"/>
      <c r="AA1509" s="569"/>
      <c r="AB1509" s="569"/>
      <c r="AC1509" s="569"/>
      <c r="AD1509" s="569"/>
      <c r="AE1509" s="569"/>
      <c r="AF1509" s="569"/>
      <c r="AG1509" s="569"/>
      <c r="AH1509" s="569"/>
      <c r="AI1509" s="569"/>
      <c r="AJ1509" s="569"/>
      <c r="AK1509" s="569"/>
      <c r="AL1509" s="569"/>
      <c r="AM1509" s="249"/>
    </row>
    <row r="1510" spans="2:39" s="231" customFormat="1">
      <c r="B1510" s="3"/>
      <c r="C1510" s="3"/>
      <c r="D1510" s="1"/>
      <c r="F1510" s="569"/>
      <c r="G1510" s="569"/>
      <c r="H1510" s="569"/>
      <c r="I1510" s="569"/>
      <c r="J1510" s="569"/>
      <c r="K1510" s="569"/>
      <c r="L1510" s="569"/>
      <c r="M1510" s="569"/>
      <c r="N1510" s="569"/>
      <c r="O1510" s="569"/>
      <c r="P1510" s="569"/>
      <c r="Q1510" s="569"/>
      <c r="R1510" s="569"/>
      <c r="S1510" s="569"/>
      <c r="T1510" s="569"/>
      <c r="U1510" s="569"/>
      <c r="V1510" s="569"/>
      <c r="W1510" s="569"/>
      <c r="X1510" s="569"/>
      <c r="Y1510" s="569"/>
      <c r="Z1510" s="569"/>
      <c r="AA1510" s="569"/>
      <c r="AB1510" s="569"/>
      <c r="AC1510" s="569"/>
      <c r="AD1510" s="569"/>
      <c r="AE1510" s="569"/>
      <c r="AF1510" s="569"/>
      <c r="AG1510" s="569"/>
      <c r="AH1510" s="569"/>
      <c r="AI1510" s="569"/>
      <c r="AJ1510" s="569"/>
      <c r="AK1510" s="569"/>
      <c r="AL1510" s="569"/>
      <c r="AM1510" s="249"/>
    </row>
    <row r="1511" spans="2:39" s="231" customFormat="1">
      <c r="B1511" s="3"/>
      <c r="C1511" s="3"/>
      <c r="D1511" s="1"/>
      <c r="F1511" s="324"/>
      <c r="G1511" s="324"/>
      <c r="H1511" s="324"/>
      <c r="I1511" s="324"/>
      <c r="J1511" s="324"/>
      <c r="K1511" s="324"/>
      <c r="L1511" s="324"/>
      <c r="M1511" s="324"/>
      <c r="N1511" s="324"/>
      <c r="O1511" s="324"/>
      <c r="P1511" s="324"/>
      <c r="Q1511" s="324"/>
      <c r="R1511" s="324"/>
      <c r="S1511" s="324"/>
      <c r="T1511" s="324"/>
      <c r="U1511" s="324"/>
      <c r="V1511" s="324"/>
      <c r="W1511" s="324"/>
      <c r="X1511" s="324"/>
      <c r="Y1511" s="324"/>
      <c r="Z1511" s="324"/>
      <c r="AA1511" s="324"/>
      <c r="AB1511" s="324"/>
      <c r="AC1511" s="324"/>
      <c r="AD1511" s="324"/>
      <c r="AE1511" s="324"/>
      <c r="AF1511" s="324"/>
      <c r="AG1511" s="324"/>
      <c r="AH1511" s="324"/>
      <c r="AI1511" s="324"/>
      <c r="AJ1511" s="324"/>
      <c r="AK1511" s="324"/>
      <c r="AL1511" s="324"/>
      <c r="AM1511" s="324"/>
    </row>
    <row r="1512" spans="2:39" s="231" customFormat="1" ht="14.1" customHeight="1">
      <c r="B1512" s="3"/>
      <c r="C1512" s="3"/>
      <c r="D1512" s="81"/>
      <c r="F1512" s="569" t="s">
        <v>228</v>
      </c>
      <c r="G1512" s="569"/>
      <c r="H1512" s="569"/>
      <c r="I1512" s="569"/>
      <c r="J1512" s="569"/>
      <c r="K1512" s="569"/>
      <c r="L1512" s="569"/>
      <c r="M1512" s="569"/>
      <c r="N1512" s="569"/>
      <c r="O1512" s="569"/>
      <c r="P1512" s="569"/>
      <c r="Q1512" s="569"/>
      <c r="R1512" s="569"/>
      <c r="S1512" s="569"/>
      <c r="T1512" s="569"/>
      <c r="U1512" s="569"/>
      <c r="V1512" s="569"/>
      <c r="W1512" s="569"/>
      <c r="X1512" s="569"/>
      <c r="Y1512" s="569"/>
      <c r="Z1512" s="569"/>
      <c r="AA1512" s="569"/>
      <c r="AB1512" s="569"/>
      <c r="AC1512" s="569"/>
      <c r="AD1512" s="569"/>
      <c r="AE1512" s="569"/>
      <c r="AF1512" s="569"/>
      <c r="AG1512" s="569"/>
      <c r="AH1512" s="569"/>
      <c r="AI1512" s="569"/>
      <c r="AJ1512" s="569"/>
      <c r="AK1512" s="569"/>
      <c r="AL1512" s="569"/>
      <c r="AM1512" s="249"/>
    </row>
    <row r="1513" spans="2:39" s="231" customFormat="1">
      <c r="B1513" s="3"/>
      <c r="C1513" s="3"/>
      <c r="D1513" s="81"/>
      <c r="F1513" s="569"/>
      <c r="G1513" s="569"/>
      <c r="H1513" s="569"/>
      <c r="I1513" s="569"/>
      <c r="J1513" s="569"/>
      <c r="K1513" s="569"/>
      <c r="L1513" s="569"/>
      <c r="M1513" s="569"/>
      <c r="N1513" s="569"/>
      <c r="O1513" s="569"/>
      <c r="P1513" s="569"/>
      <c r="Q1513" s="569"/>
      <c r="R1513" s="569"/>
      <c r="S1513" s="569"/>
      <c r="T1513" s="569"/>
      <c r="U1513" s="569"/>
      <c r="V1513" s="569"/>
      <c r="W1513" s="569"/>
      <c r="X1513" s="569"/>
      <c r="Y1513" s="569"/>
      <c r="Z1513" s="569"/>
      <c r="AA1513" s="569"/>
      <c r="AB1513" s="569"/>
      <c r="AC1513" s="569"/>
      <c r="AD1513" s="569"/>
      <c r="AE1513" s="569"/>
      <c r="AF1513" s="569"/>
      <c r="AG1513" s="569"/>
      <c r="AH1513" s="569"/>
      <c r="AI1513" s="569"/>
      <c r="AJ1513" s="569"/>
      <c r="AK1513" s="569"/>
      <c r="AL1513" s="569"/>
      <c r="AM1513" s="342"/>
    </row>
    <row r="1514" spans="2:39" s="231" customFormat="1">
      <c r="B1514" s="3"/>
      <c r="C1514" s="3"/>
      <c r="D1514" s="1"/>
      <c r="F1514" s="324"/>
      <c r="G1514" s="324"/>
      <c r="H1514" s="324"/>
      <c r="I1514" s="324"/>
      <c r="J1514" s="324"/>
      <c r="K1514" s="324"/>
      <c r="L1514" s="324"/>
      <c r="M1514" s="324"/>
      <c r="N1514" s="324"/>
      <c r="O1514" s="324"/>
      <c r="P1514" s="324"/>
      <c r="Q1514" s="324"/>
      <c r="R1514" s="324"/>
      <c r="S1514" s="324"/>
      <c r="T1514" s="324"/>
      <c r="U1514" s="324"/>
      <c r="V1514" s="324"/>
      <c r="W1514" s="324"/>
      <c r="X1514" s="324"/>
      <c r="Y1514" s="324"/>
      <c r="Z1514" s="324"/>
      <c r="AA1514" s="324"/>
      <c r="AB1514" s="324"/>
      <c r="AC1514" s="324"/>
      <c r="AD1514" s="324"/>
      <c r="AE1514" s="324"/>
      <c r="AF1514" s="324"/>
      <c r="AG1514" s="324"/>
      <c r="AH1514" s="324"/>
      <c r="AI1514" s="324"/>
      <c r="AJ1514" s="324"/>
      <c r="AK1514" s="324"/>
      <c r="AL1514" s="324"/>
      <c r="AM1514" s="324"/>
    </row>
    <row r="1515" spans="2:39" s="231" customFormat="1" ht="14.1" customHeight="1">
      <c r="B1515" s="3"/>
      <c r="C1515" s="3"/>
      <c r="D1515" s="1"/>
      <c r="F1515" s="569" t="s">
        <v>441</v>
      </c>
      <c r="G1515" s="569"/>
      <c r="H1515" s="569"/>
      <c r="I1515" s="569"/>
      <c r="J1515" s="569"/>
      <c r="K1515" s="569"/>
      <c r="L1515" s="569"/>
      <c r="M1515" s="569"/>
      <c r="N1515" s="569"/>
      <c r="O1515" s="569"/>
      <c r="P1515" s="569"/>
      <c r="Q1515" s="569"/>
      <c r="R1515" s="569"/>
      <c r="S1515" s="569"/>
      <c r="T1515" s="569"/>
      <c r="U1515" s="569"/>
      <c r="V1515" s="569"/>
      <c r="W1515" s="569"/>
      <c r="X1515" s="569"/>
      <c r="Y1515" s="569"/>
      <c r="Z1515" s="569"/>
      <c r="AA1515" s="569"/>
      <c r="AB1515" s="569"/>
      <c r="AC1515" s="569"/>
      <c r="AD1515" s="569"/>
      <c r="AE1515" s="569"/>
      <c r="AF1515" s="569"/>
      <c r="AG1515" s="569"/>
      <c r="AH1515" s="569"/>
      <c r="AI1515" s="569"/>
      <c r="AJ1515" s="569"/>
      <c r="AK1515" s="569"/>
      <c r="AL1515" s="569"/>
      <c r="AM1515" s="249"/>
    </row>
    <row r="1516" spans="2:39" s="231" customFormat="1">
      <c r="B1516" s="3"/>
      <c r="C1516" s="3"/>
      <c r="D1516" s="3"/>
      <c r="F1516" s="569"/>
      <c r="G1516" s="569"/>
      <c r="H1516" s="569"/>
      <c r="I1516" s="569"/>
      <c r="J1516" s="569"/>
      <c r="K1516" s="569"/>
      <c r="L1516" s="569"/>
      <c r="M1516" s="569"/>
      <c r="N1516" s="569"/>
      <c r="O1516" s="569"/>
      <c r="P1516" s="569"/>
      <c r="Q1516" s="569"/>
      <c r="R1516" s="569"/>
      <c r="S1516" s="569"/>
      <c r="T1516" s="569"/>
      <c r="U1516" s="569"/>
      <c r="V1516" s="569"/>
      <c r="W1516" s="569"/>
      <c r="X1516" s="569"/>
      <c r="Y1516" s="569"/>
      <c r="Z1516" s="569"/>
      <c r="AA1516" s="569"/>
      <c r="AB1516" s="569"/>
      <c r="AC1516" s="569"/>
      <c r="AD1516" s="569"/>
      <c r="AE1516" s="569"/>
      <c r="AF1516" s="569"/>
      <c r="AG1516" s="569"/>
      <c r="AH1516" s="569"/>
      <c r="AI1516" s="569"/>
      <c r="AJ1516" s="569"/>
      <c r="AK1516" s="569"/>
      <c r="AL1516" s="569"/>
      <c r="AM1516" s="249"/>
    </row>
    <row r="1517" spans="2:39" s="231" customFormat="1">
      <c r="B1517" s="3"/>
      <c r="C1517" s="3"/>
      <c r="D1517" s="3"/>
      <c r="F1517" s="324"/>
      <c r="G1517" s="324"/>
      <c r="H1517" s="324"/>
      <c r="I1517" s="324"/>
      <c r="J1517" s="324"/>
      <c r="K1517" s="324"/>
      <c r="L1517" s="324"/>
      <c r="M1517" s="324"/>
      <c r="N1517" s="324"/>
      <c r="O1517" s="324"/>
      <c r="P1517" s="324"/>
      <c r="Q1517" s="324"/>
      <c r="R1517" s="324"/>
      <c r="S1517" s="324"/>
      <c r="T1517" s="324"/>
      <c r="U1517" s="324"/>
      <c r="V1517" s="324"/>
      <c r="W1517" s="324"/>
      <c r="X1517" s="324"/>
      <c r="Y1517" s="324"/>
      <c r="Z1517" s="324"/>
      <c r="AA1517" s="324"/>
      <c r="AB1517" s="324"/>
      <c r="AC1517" s="324"/>
      <c r="AD1517" s="324"/>
      <c r="AE1517" s="324"/>
      <c r="AF1517" s="324"/>
      <c r="AG1517" s="324"/>
      <c r="AH1517" s="324"/>
      <c r="AI1517" s="324"/>
      <c r="AJ1517" s="324"/>
      <c r="AK1517" s="324"/>
      <c r="AL1517" s="324"/>
      <c r="AM1517" s="324"/>
    </row>
    <row r="1518" spans="2:39" s="231" customFormat="1" ht="14.1" customHeight="1">
      <c r="B1518" s="3"/>
      <c r="C1518" s="3"/>
      <c r="D1518" s="3"/>
      <c r="F1518" s="569" t="s">
        <v>1669</v>
      </c>
      <c r="G1518" s="569"/>
      <c r="H1518" s="569"/>
      <c r="I1518" s="569"/>
      <c r="J1518" s="569"/>
      <c r="K1518" s="569"/>
      <c r="L1518" s="569"/>
      <c r="M1518" s="569"/>
      <c r="N1518" s="569"/>
      <c r="O1518" s="569"/>
      <c r="P1518" s="569"/>
      <c r="Q1518" s="569"/>
      <c r="R1518" s="569"/>
      <c r="S1518" s="569"/>
      <c r="T1518" s="569"/>
      <c r="U1518" s="569"/>
      <c r="V1518" s="569"/>
      <c r="W1518" s="569"/>
      <c r="X1518" s="569"/>
      <c r="Y1518" s="569"/>
      <c r="Z1518" s="569"/>
      <c r="AA1518" s="569"/>
      <c r="AB1518" s="569"/>
      <c r="AC1518" s="569"/>
      <c r="AD1518" s="569"/>
      <c r="AE1518" s="569"/>
      <c r="AF1518" s="569"/>
      <c r="AG1518" s="569"/>
      <c r="AH1518" s="569"/>
      <c r="AI1518" s="569"/>
      <c r="AJ1518" s="569"/>
      <c r="AK1518" s="569"/>
      <c r="AL1518" s="249"/>
      <c r="AM1518" s="249"/>
    </row>
    <row r="1519" spans="2:39" s="231" customFormat="1">
      <c r="B1519" s="3"/>
      <c r="C1519" s="3"/>
      <c r="D1519" s="3"/>
      <c r="F1519" s="324"/>
      <c r="G1519" s="324"/>
      <c r="H1519" s="324"/>
      <c r="I1519" s="324"/>
      <c r="J1519" s="324"/>
      <c r="K1519" s="324"/>
      <c r="L1519" s="324"/>
      <c r="M1519" s="324"/>
      <c r="N1519" s="324"/>
      <c r="O1519" s="324"/>
      <c r="P1519" s="324"/>
      <c r="Q1519" s="324"/>
      <c r="R1519" s="324"/>
      <c r="S1519" s="324"/>
      <c r="T1519" s="324"/>
      <c r="U1519" s="324"/>
      <c r="V1519" s="324"/>
      <c r="W1519" s="324"/>
      <c r="X1519" s="324"/>
      <c r="Y1519" s="324"/>
      <c r="Z1519" s="324"/>
      <c r="AA1519" s="324"/>
      <c r="AB1519" s="324"/>
      <c r="AC1519" s="324"/>
      <c r="AD1519" s="324"/>
      <c r="AE1519" s="324"/>
      <c r="AF1519" s="324"/>
      <c r="AG1519" s="324"/>
      <c r="AH1519" s="324"/>
      <c r="AI1519" s="324"/>
      <c r="AJ1519" s="324"/>
      <c r="AK1519" s="324"/>
      <c r="AL1519" s="324"/>
      <c r="AM1519" s="324"/>
    </row>
    <row r="1520" spans="2:39" s="231" customFormat="1">
      <c r="B1520" s="3"/>
      <c r="C1520" s="3"/>
      <c r="D1520" s="1"/>
      <c r="F1520" s="746" t="s">
        <v>443</v>
      </c>
      <c r="G1520" s="746"/>
      <c r="H1520" s="746"/>
      <c r="I1520" s="746"/>
      <c r="J1520" s="746"/>
      <c r="K1520" s="746"/>
      <c r="L1520" s="746"/>
      <c r="M1520" s="746"/>
      <c r="N1520" s="746"/>
      <c r="O1520" s="746"/>
      <c r="P1520" s="746"/>
      <c r="Q1520" s="746"/>
      <c r="R1520" s="746"/>
      <c r="S1520" s="746"/>
      <c r="T1520" s="746"/>
      <c r="U1520" s="746"/>
      <c r="V1520" s="746"/>
      <c r="W1520" s="746"/>
      <c r="X1520" s="746"/>
      <c r="Y1520" s="746"/>
      <c r="Z1520" s="746"/>
      <c r="AA1520" s="746"/>
      <c r="AB1520" s="746"/>
      <c r="AC1520" s="746"/>
      <c r="AD1520" s="746"/>
      <c r="AE1520" s="746"/>
      <c r="AF1520" s="746"/>
      <c r="AG1520" s="746"/>
      <c r="AH1520" s="746"/>
      <c r="AI1520" s="746"/>
      <c r="AJ1520" s="746"/>
      <c r="AK1520" s="746"/>
      <c r="AL1520" s="746"/>
      <c r="AM1520" s="746"/>
    </row>
    <row r="1521" spans="2:39" s="231" customFormat="1" ht="14.1" customHeight="1">
      <c r="B1521" s="3"/>
      <c r="C1521" s="3"/>
      <c r="D1521" s="25"/>
      <c r="F1521" s="569" t="s">
        <v>444</v>
      </c>
      <c r="G1521" s="569"/>
      <c r="H1521" s="569"/>
      <c r="I1521" s="569"/>
      <c r="J1521" s="569"/>
      <c r="K1521" s="569"/>
      <c r="L1521" s="569"/>
      <c r="M1521" s="569"/>
      <c r="N1521" s="569"/>
      <c r="O1521" s="569"/>
      <c r="P1521" s="569"/>
      <c r="Q1521" s="569"/>
      <c r="R1521" s="569"/>
      <c r="S1521" s="569"/>
      <c r="T1521" s="569"/>
      <c r="U1521" s="569"/>
      <c r="V1521" s="569"/>
      <c r="W1521" s="569"/>
      <c r="X1521" s="569"/>
      <c r="Y1521" s="569"/>
      <c r="Z1521" s="569"/>
      <c r="AA1521" s="569"/>
      <c r="AB1521" s="569"/>
      <c r="AC1521" s="569"/>
      <c r="AD1521" s="569"/>
      <c r="AE1521" s="569"/>
      <c r="AF1521" s="569"/>
      <c r="AG1521" s="569"/>
      <c r="AH1521" s="569"/>
      <c r="AI1521" s="569"/>
      <c r="AJ1521" s="569"/>
      <c r="AK1521" s="569"/>
      <c r="AL1521" s="569"/>
      <c r="AM1521" s="249"/>
    </row>
    <row r="1522" spans="2:39" s="231" customFormat="1">
      <c r="B1522" s="3"/>
      <c r="C1522" s="3"/>
      <c r="D1522" s="25"/>
      <c r="F1522" s="569"/>
      <c r="G1522" s="569"/>
      <c r="H1522" s="569"/>
      <c r="I1522" s="569"/>
      <c r="J1522" s="569"/>
      <c r="K1522" s="569"/>
      <c r="L1522" s="569"/>
      <c r="M1522" s="569"/>
      <c r="N1522" s="569"/>
      <c r="O1522" s="569"/>
      <c r="P1522" s="569"/>
      <c r="Q1522" s="569"/>
      <c r="R1522" s="569"/>
      <c r="S1522" s="569"/>
      <c r="T1522" s="569"/>
      <c r="U1522" s="569"/>
      <c r="V1522" s="569"/>
      <c r="W1522" s="569"/>
      <c r="X1522" s="569"/>
      <c r="Y1522" s="569"/>
      <c r="Z1522" s="569"/>
      <c r="AA1522" s="569"/>
      <c r="AB1522" s="569"/>
      <c r="AC1522" s="569"/>
      <c r="AD1522" s="569"/>
      <c r="AE1522" s="569"/>
      <c r="AF1522" s="569"/>
      <c r="AG1522" s="569"/>
      <c r="AH1522" s="569"/>
      <c r="AI1522" s="569"/>
      <c r="AJ1522" s="569"/>
      <c r="AK1522" s="569"/>
      <c r="AL1522" s="569"/>
      <c r="AM1522" s="249"/>
    </row>
    <row r="1523" spans="2:39" s="231" customFormat="1">
      <c r="B1523" s="3"/>
      <c r="C1523" s="3"/>
      <c r="D1523" s="1"/>
      <c r="F1523" s="569"/>
      <c r="G1523" s="569"/>
      <c r="H1523" s="569"/>
      <c r="I1523" s="569"/>
      <c r="J1523" s="569"/>
      <c r="K1523" s="569"/>
      <c r="L1523" s="569"/>
      <c r="M1523" s="569"/>
      <c r="N1523" s="569"/>
      <c r="O1523" s="569"/>
      <c r="P1523" s="569"/>
      <c r="Q1523" s="569"/>
      <c r="R1523" s="569"/>
      <c r="S1523" s="569"/>
      <c r="T1523" s="569"/>
      <c r="U1523" s="569"/>
      <c r="V1523" s="569"/>
      <c r="W1523" s="569"/>
      <c r="X1523" s="569"/>
      <c r="Y1523" s="569"/>
      <c r="Z1523" s="569"/>
      <c r="AA1523" s="569"/>
      <c r="AB1523" s="569"/>
      <c r="AC1523" s="569"/>
      <c r="AD1523" s="569"/>
      <c r="AE1523" s="569"/>
      <c r="AF1523" s="569"/>
      <c r="AG1523" s="569"/>
      <c r="AH1523" s="569"/>
      <c r="AI1523" s="569"/>
      <c r="AJ1523" s="569"/>
      <c r="AK1523" s="569"/>
      <c r="AL1523" s="569"/>
      <c r="AM1523" s="249"/>
    </row>
    <row r="1524" spans="2:39" s="231" customFormat="1">
      <c r="B1524" s="3"/>
      <c r="C1524" s="3"/>
      <c r="D1524" s="1"/>
      <c r="F1524" s="325"/>
      <c r="G1524" s="325"/>
      <c r="H1524" s="325"/>
      <c r="I1524" s="325"/>
      <c r="J1524" s="325"/>
      <c r="K1524" s="325"/>
      <c r="L1524" s="325"/>
      <c r="M1524" s="325"/>
      <c r="N1524" s="325"/>
      <c r="O1524" s="325"/>
      <c r="P1524" s="325"/>
      <c r="Q1524" s="325"/>
      <c r="R1524" s="325"/>
      <c r="S1524" s="325"/>
      <c r="T1524" s="325"/>
      <c r="U1524" s="325"/>
      <c r="V1524" s="325"/>
      <c r="W1524" s="325"/>
      <c r="X1524" s="325"/>
      <c r="Y1524" s="325"/>
      <c r="Z1524" s="325"/>
      <c r="AA1524" s="325"/>
      <c r="AB1524" s="325"/>
      <c r="AC1524" s="325"/>
      <c r="AD1524" s="325"/>
      <c r="AE1524" s="325"/>
      <c r="AF1524" s="325"/>
      <c r="AG1524" s="325"/>
      <c r="AH1524" s="325"/>
      <c r="AI1524" s="325"/>
      <c r="AJ1524" s="325"/>
      <c r="AK1524" s="325"/>
      <c r="AL1524" s="325"/>
      <c r="AM1524" s="325"/>
    </row>
    <row r="1525" spans="2:39" s="231" customFormat="1">
      <c r="B1525" s="3"/>
      <c r="C1525" s="3"/>
      <c r="D1525" s="25"/>
      <c r="F1525" s="343" t="s">
        <v>445</v>
      </c>
      <c r="G1525" s="343"/>
      <c r="H1525" s="343"/>
      <c r="I1525" s="343"/>
      <c r="J1525" s="343"/>
      <c r="K1525" s="343"/>
      <c r="L1525" s="343"/>
      <c r="M1525" s="343"/>
      <c r="N1525" s="343"/>
      <c r="O1525" s="343"/>
      <c r="P1525" s="343"/>
      <c r="Q1525" s="343"/>
      <c r="R1525" s="343"/>
      <c r="S1525" s="343"/>
      <c r="T1525" s="343"/>
      <c r="U1525" s="343"/>
      <c r="V1525" s="343"/>
      <c r="W1525" s="343"/>
      <c r="X1525" s="343"/>
      <c r="Y1525" s="343"/>
      <c r="Z1525" s="343"/>
      <c r="AA1525" s="343"/>
      <c r="AB1525" s="343"/>
      <c r="AC1525" s="343"/>
      <c r="AD1525" s="343"/>
      <c r="AE1525" s="343"/>
      <c r="AF1525" s="343"/>
      <c r="AG1525" s="343"/>
      <c r="AH1525" s="343"/>
      <c r="AI1525" s="343"/>
      <c r="AJ1525" s="343"/>
      <c r="AK1525" s="343"/>
      <c r="AL1525" s="343"/>
      <c r="AM1525" s="343"/>
    </row>
    <row r="1526" spans="2:39" s="231" customFormat="1" ht="14.1" customHeight="1">
      <c r="B1526" s="3"/>
      <c r="C1526" s="3"/>
      <c r="D1526" s="1"/>
      <c r="F1526" s="569" t="s">
        <v>446</v>
      </c>
      <c r="G1526" s="569"/>
      <c r="H1526" s="569"/>
      <c r="I1526" s="569"/>
      <c r="J1526" s="569"/>
      <c r="K1526" s="569"/>
      <c r="L1526" s="569"/>
      <c r="M1526" s="569"/>
      <c r="N1526" s="569"/>
      <c r="O1526" s="569"/>
      <c r="P1526" s="569"/>
      <c r="Q1526" s="569"/>
      <c r="R1526" s="569"/>
      <c r="S1526" s="569"/>
      <c r="T1526" s="569"/>
      <c r="U1526" s="569"/>
      <c r="V1526" s="569"/>
      <c r="W1526" s="569"/>
      <c r="X1526" s="569"/>
      <c r="Y1526" s="569"/>
      <c r="Z1526" s="569"/>
      <c r="AA1526" s="569"/>
      <c r="AB1526" s="569"/>
      <c r="AC1526" s="569"/>
      <c r="AD1526" s="569"/>
      <c r="AE1526" s="569"/>
      <c r="AF1526" s="569"/>
      <c r="AG1526" s="569"/>
      <c r="AH1526" s="569"/>
      <c r="AI1526" s="569"/>
      <c r="AJ1526" s="569"/>
      <c r="AK1526" s="569"/>
      <c r="AL1526" s="569"/>
      <c r="AM1526" s="333"/>
    </row>
    <row r="1527" spans="2:39" s="231" customFormat="1">
      <c r="B1527" s="3"/>
      <c r="C1527" s="3"/>
      <c r="D1527" s="1"/>
      <c r="F1527" s="569"/>
      <c r="G1527" s="569"/>
      <c r="H1527" s="569"/>
      <c r="I1527" s="569"/>
      <c r="J1527" s="569"/>
      <c r="K1527" s="569"/>
      <c r="L1527" s="569"/>
      <c r="M1527" s="569"/>
      <c r="N1527" s="569"/>
      <c r="O1527" s="569"/>
      <c r="P1527" s="569"/>
      <c r="Q1527" s="569"/>
      <c r="R1527" s="569"/>
      <c r="S1527" s="569"/>
      <c r="T1527" s="569"/>
      <c r="U1527" s="569"/>
      <c r="V1527" s="569"/>
      <c r="W1527" s="569"/>
      <c r="X1527" s="569"/>
      <c r="Y1527" s="569"/>
      <c r="Z1527" s="569"/>
      <c r="AA1527" s="569"/>
      <c r="AB1527" s="569"/>
      <c r="AC1527" s="569"/>
      <c r="AD1527" s="569"/>
      <c r="AE1527" s="569"/>
      <c r="AF1527" s="569"/>
      <c r="AG1527" s="569"/>
      <c r="AH1527" s="569"/>
      <c r="AI1527" s="569"/>
      <c r="AJ1527" s="569"/>
      <c r="AK1527" s="569"/>
      <c r="AL1527" s="569"/>
      <c r="AM1527" s="333"/>
    </row>
    <row r="1528" spans="2:39" s="231" customFormat="1">
      <c r="B1528" s="3"/>
      <c r="C1528" s="3"/>
      <c r="D1528" s="1"/>
      <c r="F1528" s="569"/>
      <c r="G1528" s="569"/>
      <c r="H1528" s="569"/>
      <c r="I1528" s="569"/>
      <c r="J1528" s="569"/>
      <c r="K1528" s="569"/>
      <c r="L1528" s="569"/>
      <c r="M1528" s="569"/>
      <c r="N1528" s="569"/>
      <c r="O1528" s="569"/>
      <c r="P1528" s="569"/>
      <c r="Q1528" s="569"/>
      <c r="R1528" s="569"/>
      <c r="S1528" s="569"/>
      <c r="T1528" s="569"/>
      <c r="U1528" s="569"/>
      <c r="V1528" s="569"/>
      <c r="W1528" s="569"/>
      <c r="X1528" s="569"/>
      <c r="Y1528" s="569"/>
      <c r="Z1528" s="569"/>
      <c r="AA1528" s="569"/>
      <c r="AB1528" s="569"/>
      <c r="AC1528" s="569"/>
      <c r="AD1528" s="569"/>
      <c r="AE1528" s="569"/>
      <c r="AF1528" s="569"/>
      <c r="AG1528" s="569"/>
      <c r="AH1528" s="569"/>
      <c r="AI1528" s="569"/>
      <c r="AJ1528" s="569"/>
      <c r="AK1528" s="569"/>
      <c r="AL1528" s="569"/>
      <c r="AM1528" s="326"/>
    </row>
    <row r="1529" spans="2:39" s="231" customFormat="1">
      <c r="B1529" s="3"/>
      <c r="C1529" s="3"/>
      <c r="D1529" s="25"/>
      <c r="F1529" s="325"/>
      <c r="G1529" s="325"/>
      <c r="H1529" s="325"/>
      <c r="I1529" s="325"/>
      <c r="J1529" s="325"/>
      <c r="K1529" s="325"/>
      <c r="L1529" s="325"/>
      <c r="M1529" s="325"/>
      <c r="N1529" s="325"/>
      <c r="O1529" s="325"/>
      <c r="P1529" s="325"/>
      <c r="Q1529" s="325"/>
      <c r="R1529" s="325"/>
      <c r="S1529" s="325"/>
      <c r="T1529" s="325"/>
      <c r="U1529" s="325"/>
      <c r="V1529" s="325"/>
      <c r="W1529" s="325"/>
      <c r="X1529" s="325"/>
      <c r="Y1529" s="325"/>
      <c r="Z1529" s="325"/>
      <c r="AA1529" s="325"/>
      <c r="AB1529" s="325"/>
      <c r="AC1529" s="325"/>
      <c r="AD1529" s="325"/>
      <c r="AE1529" s="325"/>
      <c r="AF1529" s="325"/>
      <c r="AG1529" s="325"/>
      <c r="AH1529" s="325"/>
      <c r="AI1529" s="325"/>
      <c r="AJ1529" s="325"/>
      <c r="AK1529" s="325"/>
      <c r="AL1529" s="325"/>
      <c r="AM1529" s="325"/>
    </row>
    <row r="1530" spans="2:39" s="231" customFormat="1">
      <c r="B1530" s="3"/>
      <c r="C1530" s="3"/>
      <c r="D1530" s="25"/>
      <c r="F1530" s="343" t="s">
        <v>447</v>
      </c>
      <c r="G1530" s="343"/>
      <c r="H1530" s="343"/>
      <c r="I1530" s="343"/>
      <c r="J1530" s="343"/>
      <c r="K1530" s="343"/>
      <c r="L1530" s="343"/>
      <c r="M1530" s="343"/>
      <c r="N1530" s="343"/>
      <c r="O1530" s="343"/>
      <c r="P1530" s="343"/>
      <c r="Q1530" s="343"/>
      <c r="R1530" s="343"/>
      <c r="S1530" s="343"/>
      <c r="T1530" s="343"/>
      <c r="U1530" s="343"/>
      <c r="V1530" s="343"/>
      <c r="W1530" s="343"/>
      <c r="X1530" s="343"/>
      <c r="Y1530" s="343"/>
      <c r="Z1530" s="343"/>
      <c r="AA1530" s="343"/>
      <c r="AB1530" s="343"/>
      <c r="AC1530" s="343"/>
      <c r="AD1530" s="343"/>
      <c r="AE1530" s="343"/>
      <c r="AF1530" s="343"/>
      <c r="AG1530" s="343"/>
      <c r="AH1530" s="343"/>
      <c r="AI1530" s="343"/>
      <c r="AJ1530" s="343"/>
      <c r="AK1530" s="343"/>
      <c r="AL1530" s="343"/>
      <c r="AM1530" s="343"/>
    </row>
    <row r="1531" spans="2:39" s="231" customFormat="1" ht="14.1" customHeight="1">
      <c r="B1531" s="3"/>
      <c r="C1531" s="3"/>
      <c r="D1531" s="25"/>
      <c r="F1531" s="738" t="s">
        <v>448</v>
      </c>
      <c r="G1531" s="738"/>
      <c r="H1531" s="738"/>
      <c r="I1531" s="738"/>
      <c r="J1531" s="738"/>
      <c r="K1531" s="738"/>
      <c r="L1531" s="738"/>
      <c r="M1531" s="738"/>
      <c r="N1531" s="738"/>
      <c r="O1531" s="738"/>
      <c r="P1531" s="738"/>
      <c r="Q1531" s="738"/>
      <c r="R1531" s="738"/>
      <c r="S1531" s="738"/>
      <c r="T1531" s="738"/>
      <c r="U1531" s="738"/>
      <c r="V1531" s="738"/>
      <c r="W1531" s="738"/>
      <c r="X1531" s="738"/>
      <c r="Y1531" s="738"/>
      <c r="Z1531" s="738"/>
      <c r="AA1531" s="738"/>
      <c r="AB1531" s="738"/>
      <c r="AC1531" s="738"/>
      <c r="AD1531" s="738"/>
      <c r="AE1531" s="738"/>
      <c r="AF1531" s="738"/>
      <c r="AG1531" s="738"/>
      <c r="AH1531" s="738"/>
      <c r="AI1531" s="738"/>
      <c r="AJ1531" s="738"/>
      <c r="AK1531" s="738"/>
      <c r="AL1531" s="738"/>
      <c r="AM1531" s="333"/>
    </row>
    <row r="1532" spans="2:39" s="231" customFormat="1">
      <c r="B1532" s="3"/>
      <c r="C1532" s="3"/>
      <c r="D1532" s="25"/>
      <c r="F1532" s="738"/>
      <c r="G1532" s="738"/>
      <c r="H1532" s="738"/>
      <c r="I1532" s="738"/>
      <c r="J1532" s="738"/>
      <c r="K1532" s="738"/>
      <c r="L1532" s="738"/>
      <c r="M1532" s="738"/>
      <c r="N1532" s="738"/>
      <c r="O1532" s="738"/>
      <c r="P1532" s="738"/>
      <c r="Q1532" s="738"/>
      <c r="R1532" s="738"/>
      <c r="S1532" s="738"/>
      <c r="T1532" s="738"/>
      <c r="U1532" s="738"/>
      <c r="V1532" s="738"/>
      <c r="W1532" s="738"/>
      <c r="X1532" s="738"/>
      <c r="Y1532" s="738"/>
      <c r="Z1532" s="738"/>
      <c r="AA1532" s="738"/>
      <c r="AB1532" s="738"/>
      <c r="AC1532" s="738"/>
      <c r="AD1532" s="738"/>
      <c r="AE1532" s="738"/>
      <c r="AF1532" s="738"/>
      <c r="AG1532" s="738"/>
      <c r="AH1532" s="738"/>
      <c r="AI1532" s="738"/>
      <c r="AJ1532" s="738"/>
      <c r="AK1532" s="738"/>
      <c r="AL1532" s="738"/>
      <c r="AM1532" s="333"/>
    </row>
    <row r="1533" spans="2:39" s="231" customFormat="1">
      <c r="B1533" s="3"/>
      <c r="C1533" s="3"/>
      <c r="D1533" s="25"/>
      <c r="F1533" s="325"/>
      <c r="G1533" s="325"/>
      <c r="H1533" s="325"/>
      <c r="I1533" s="325"/>
      <c r="J1533" s="325"/>
      <c r="K1533" s="325"/>
      <c r="L1533" s="325"/>
      <c r="M1533" s="325"/>
      <c r="N1533" s="325"/>
      <c r="O1533" s="325"/>
      <c r="P1533" s="325"/>
      <c r="Q1533" s="325"/>
      <c r="R1533" s="325"/>
      <c r="S1533" s="325"/>
      <c r="T1533" s="325"/>
      <c r="U1533" s="325"/>
      <c r="V1533" s="325"/>
      <c r="W1533" s="325"/>
      <c r="X1533" s="325"/>
      <c r="Y1533" s="325"/>
      <c r="Z1533" s="325"/>
      <c r="AA1533" s="325"/>
      <c r="AB1533" s="325"/>
      <c r="AC1533" s="325"/>
      <c r="AD1533" s="325"/>
      <c r="AE1533" s="325"/>
      <c r="AF1533" s="325"/>
      <c r="AG1533" s="325"/>
      <c r="AH1533" s="325"/>
      <c r="AI1533" s="325"/>
      <c r="AJ1533" s="325"/>
      <c r="AK1533" s="325"/>
      <c r="AL1533" s="325"/>
      <c r="AM1533" s="325"/>
    </row>
    <row r="1534" spans="2:39" s="231" customFormat="1">
      <c r="B1534" s="3"/>
      <c r="C1534" s="3"/>
      <c r="D1534" s="14"/>
      <c r="F1534" s="327"/>
      <c r="G1534" s="327"/>
      <c r="H1534" s="327"/>
      <c r="I1534" s="327"/>
      <c r="J1534" s="327"/>
      <c r="K1534" s="327"/>
      <c r="L1534" s="327"/>
      <c r="M1534" s="327"/>
      <c r="N1534" s="327"/>
      <c r="O1534" s="327"/>
      <c r="P1534" s="327"/>
      <c r="Q1534" s="327"/>
      <c r="R1534" s="327"/>
      <c r="S1534" s="327"/>
      <c r="T1534" s="328"/>
      <c r="U1534" s="328"/>
      <c r="V1534" s="328"/>
      <c r="W1534" s="328"/>
      <c r="X1534" s="328"/>
      <c r="Y1534" s="328"/>
      <c r="Z1534" s="328"/>
      <c r="AA1534" s="328"/>
      <c r="AB1534" s="328"/>
      <c r="AC1534" s="328"/>
      <c r="AD1534" s="328"/>
      <c r="AE1534" s="328"/>
      <c r="AF1534" s="328"/>
      <c r="AG1534" s="328"/>
      <c r="AH1534" s="328"/>
      <c r="AI1534" s="328"/>
      <c r="AJ1534" s="328"/>
      <c r="AK1534" s="328"/>
      <c r="AL1534" s="328"/>
      <c r="AM1534" s="118"/>
    </row>
    <row r="1535" spans="2:39" s="231" customFormat="1" ht="14.1" customHeight="1">
      <c r="B1535" s="3"/>
      <c r="C1535" s="3"/>
      <c r="D1535" s="14"/>
      <c r="F1535" s="569" t="s">
        <v>1657</v>
      </c>
      <c r="G1535" s="569"/>
      <c r="H1535" s="569"/>
      <c r="I1535" s="569"/>
      <c r="J1535" s="569"/>
      <c r="K1535" s="569"/>
      <c r="L1535" s="569"/>
      <c r="M1535" s="569"/>
      <c r="N1535" s="569"/>
      <c r="O1535" s="569"/>
      <c r="P1535" s="569"/>
      <c r="Q1535" s="569"/>
      <c r="R1535" s="569"/>
      <c r="S1535" s="569"/>
      <c r="T1535" s="569"/>
      <c r="U1535" s="569"/>
      <c r="V1535" s="569"/>
      <c r="W1535" s="569"/>
      <c r="X1535" s="569"/>
      <c r="Y1535" s="569"/>
      <c r="Z1535" s="569"/>
      <c r="AA1535" s="569"/>
      <c r="AB1535" s="569"/>
      <c r="AC1535" s="569"/>
      <c r="AD1535" s="569"/>
      <c r="AE1535" s="569"/>
      <c r="AF1535" s="569"/>
      <c r="AG1535" s="569"/>
      <c r="AH1535" s="569"/>
      <c r="AI1535" s="569"/>
      <c r="AJ1535" s="569"/>
      <c r="AK1535" s="569"/>
      <c r="AL1535" s="569"/>
      <c r="AM1535" s="273"/>
    </row>
    <row r="1536" spans="2:39" s="231" customFormat="1">
      <c r="B1536" s="3"/>
      <c r="C1536" s="3"/>
      <c r="D1536" s="14"/>
      <c r="F1536" s="569"/>
      <c r="G1536" s="569"/>
      <c r="H1536" s="569"/>
      <c r="I1536" s="569"/>
      <c r="J1536" s="569"/>
      <c r="K1536" s="569"/>
      <c r="L1536" s="569"/>
      <c r="M1536" s="569"/>
      <c r="N1536" s="569"/>
      <c r="O1536" s="569"/>
      <c r="P1536" s="569"/>
      <c r="Q1536" s="569"/>
      <c r="R1536" s="569"/>
      <c r="S1536" s="569"/>
      <c r="T1536" s="569"/>
      <c r="U1536" s="569"/>
      <c r="V1536" s="569"/>
      <c r="W1536" s="569"/>
      <c r="X1536" s="569"/>
      <c r="Y1536" s="569"/>
      <c r="Z1536" s="569"/>
      <c r="AA1536" s="569"/>
      <c r="AB1536" s="569"/>
      <c r="AC1536" s="569"/>
      <c r="AD1536" s="569"/>
      <c r="AE1536" s="569"/>
      <c r="AF1536" s="569"/>
      <c r="AG1536" s="569"/>
      <c r="AH1536" s="569"/>
      <c r="AI1536" s="569"/>
      <c r="AJ1536" s="569"/>
      <c r="AK1536" s="569"/>
      <c r="AL1536" s="569"/>
      <c r="AM1536" s="273"/>
    </row>
    <row r="1537" spans="2:39" s="231" customFormat="1">
      <c r="B1537" s="3"/>
      <c r="C1537" s="3"/>
      <c r="D1537" s="14"/>
      <c r="F1537" s="569"/>
      <c r="G1537" s="569"/>
      <c r="H1537" s="569"/>
      <c r="I1537" s="569"/>
      <c r="J1537" s="569"/>
      <c r="K1537" s="569"/>
      <c r="L1537" s="569"/>
      <c r="M1537" s="569"/>
      <c r="N1537" s="569"/>
      <c r="O1537" s="569"/>
      <c r="P1537" s="569"/>
      <c r="Q1537" s="569"/>
      <c r="R1537" s="569"/>
      <c r="S1537" s="569"/>
      <c r="T1537" s="569"/>
      <c r="U1537" s="569"/>
      <c r="V1537" s="569"/>
      <c r="W1537" s="569"/>
      <c r="X1537" s="569"/>
      <c r="Y1537" s="569"/>
      <c r="Z1537" s="569"/>
      <c r="AA1537" s="569"/>
      <c r="AB1537" s="569"/>
      <c r="AC1537" s="569"/>
      <c r="AD1537" s="569"/>
      <c r="AE1537" s="569"/>
      <c r="AF1537" s="569"/>
      <c r="AG1537" s="569"/>
      <c r="AH1537" s="569"/>
      <c r="AI1537" s="569"/>
      <c r="AJ1537" s="569"/>
      <c r="AK1537" s="569"/>
      <c r="AL1537" s="569"/>
      <c r="AM1537" s="273"/>
    </row>
    <row r="1538" spans="2:39" s="231" customFormat="1">
      <c r="B1538" s="3"/>
      <c r="C1538" s="3"/>
      <c r="D1538" s="14"/>
      <c r="F1538" s="273"/>
      <c r="G1538" s="273"/>
      <c r="H1538" s="273"/>
      <c r="I1538" s="273"/>
      <c r="J1538" s="273"/>
      <c r="K1538" s="273"/>
      <c r="L1538" s="273"/>
      <c r="M1538" s="273"/>
      <c r="N1538" s="273"/>
      <c r="O1538" s="273"/>
      <c r="P1538" s="273"/>
      <c r="Q1538" s="273"/>
      <c r="R1538" s="273"/>
      <c r="S1538" s="273"/>
      <c r="T1538" s="273"/>
      <c r="U1538" s="273"/>
      <c r="V1538" s="273"/>
      <c r="W1538" s="273"/>
      <c r="X1538" s="273"/>
      <c r="Y1538" s="273"/>
      <c r="Z1538" s="273"/>
      <c r="AA1538" s="273"/>
      <c r="AB1538" s="273"/>
      <c r="AC1538" s="273"/>
      <c r="AD1538" s="273"/>
      <c r="AE1538" s="273"/>
      <c r="AF1538" s="273"/>
      <c r="AG1538" s="273"/>
      <c r="AH1538" s="273"/>
      <c r="AI1538" s="273"/>
      <c r="AJ1538" s="273"/>
      <c r="AK1538" s="273"/>
      <c r="AL1538" s="273"/>
      <c r="AM1538" s="273"/>
    </row>
    <row r="1539" spans="2:39" s="231" customFormat="1">
      <c r="B1539" s="3"/>
      <c r="C1539" s="3"/>
      <c r="D1539" s="1"/>
      <c r="F1539" s="314" t="s">
        <v>449</v>
      </c>
      <c r="G1539" s="314"/>
      <c r="H1539" s="314"/>
      <c r="I1539" s="314"/>
      <c r="J1539" s="314"/>
      <c r="K1539" s="314"/>
      <c r="L1539" s="314"/>
      <c r="M1539" s="314"/>
      <c r="N1539" s="314"/>
      <c r="O1539" s="314"/>
      <c r="P1539" s="314"/>
      <c r="Q1539" s="314"/>
      <c r="R1539" s="314"/>
      <c r="S1539" s="314"/>
      <c r="T1539" s="314"/>
      <c r="U1539" s="314"/>
      <c r="V1539" s="314"/>
      <c r="W1539" s="314"/>
      <c r="X1539" s="314"/>
      <c r="Y1539" s="314"/>
      <c r="Z1539" s="314"/>
      <c r="AA1539" s="314"/>
      <c r="AB1539" s="314"/>
      <c r="AC1539" s="314"/>
      <c r="AD1539" s="314"/>
      <c r="AE1539" s="314"/>
      <c r="AF1539" s="314"/>
      <c r="AG1539" s="314"/>
      <c r="AH1539" s="314"/>
      <c r="AI1539" s="314"/>
      <c r="AJ1539" s="314"/>
      <c r="AK1539" s="314"/>
      <c r="AL1539" s="314"/>
      <c r="AM1539" s="314"/>
    </row>
    <row r="1540" spans="2:39" s="231" customFormat="1" ht="14.1" customHeight="1">
      <c r="B1540" s="3"/>
      <c r="C1540" s="3"/>
      <c r="D1540" s="1"/>
      <c r="F1540" s="569" t="s">
        <v>450</v>
      </c>
      <c r="G1540" s="569"/>
      <c r="H1540" s="569"/>
      <c r="I1540" s="569"/>
      <c r="J1540" s="569"/>
      <c r="K1540" s="569"/>
      <c r="L1540" s="569"/>
      <c r="M1540" s="569"/>
      <c r="N1540" s="569"/>
      <c r="O1540" s="569"/>
      <c r="P1540" s="569"/>
      <c r="Q1540" s="569"/>
      <c r="R1540" s="569"/>
      <c r="S1540" s="569"/>
      <c r="T1540" s="569"/>
      <c r="U1540" s="569"/>
      <c r="V1540" s="569"/>
      <c r="W1540" s="569"/>
      <c r="X1540" s="569"/>
      <c r="Y1540" s="569"/>
      <c r="Z1540" s="569"/>
      <c r="AA1540" s="569"/>
      <c r="AB1540" s="569"/>
      <c r="AC1540" s="569"/>
      <c r="AD1540" s="569"/>
      <c r="AE1540" s="569"/>
      <c r="AF1540" s="569"/>
      <c r="AG1540" s="569"/>
      <c r="AH1540" s="569"/>
      <c r="AI1540" s="569"/>
      <c r="AJ1540" s="569"/>
      <c r="AK1540" s="569"/>
      <c r="AL1540" s="569"/>
      <c r="AM1540" s="249"/>
    </row>
    <row r="1541" spans="2:39" s="231" customFormat="1">
      <c r="B1541" s="3"/>
      <c r="C1541" s="3"/>
      <c r="D1541" s="1"/>
      <c r="F1541" s="569"/>
      <c r="G1541" s="569"/>
      <c r="H1541" s="569"/>
      <c r="I1541" s="569"/>
      <c r="J1541" s="569"/>
      <c r="K1541" s="569"/>
      <c r="L1541" s="569"/>
      <c r="M1541" s="569"/>
      <c r="N1541" s="569"/>
      <c r="O1541" s="569"/>
      <c r="P1541" s="569"/>
      <c r="Q1541" s="569"/>
      <c r="R1541" s="569"/>
      <c r="S1541" s="569"/>
      <c r="T1541" s="569"/>
      <c r="U1541" s="569"/>
      <c r="V1541" s="569"/>
      <c r="W1541" s="569"/>
      <c r="X1541" s="569"/>
      <c r="Y1541" s="569"/>
      <c r="Z1541" s="569"/>
      <c r="AA1541" s="569"/>
      <c r="AB1541" s="569"/>
      <c r="AC1541" s="569"/>
      <c r="AD1541" s="569"/>
      <c r="AE1541" s="569"/>
      <c r="AF1541" s="569"/>
      <c r="AG1541" s="569"/>
      <c r="AH1541" s="569"/>
      <c r="AI1541" s="569"/>
      <c r="AJ1541" s="569"/>
      <c r="AK1541" s="569"/>
      <c r="AL1541" s="569"/>
      <c r="AM1541" s="249"/>
    </row>
    <row r="1542" spans="2:39" s="231" customFormat="1">
      <c r="B1542" s="3"/>
      <c r="C1542" s="3"/>
      <c r="D1542" s="1"/>
      <c r="F1542" s="248"/>
      <c r="G1542" s="248"/>
      <c r="H1542" s="248"/>
      <c r="I1542" s="248"/>
      <c r="J1542" s="248"/>
      <c r="K1542" s="248"/>
      <c r="L1542" s="248"/>
      <c r="M1542" s="248"/>
      <c r="N1542" s="248"/>
      <c r="O1542" s="248"/>
      <c r="P1542" s="248"/>
      <c r="Q1542" s="248"/>
      <c r="R1542" s="248"/>
      <c r="S1542" s="248"/>
      <c r="T1542" s="248"/>
      <c r="U1542" s="248"/>
      <c r="V1542" s="248"/>
      <c r="W1542" s="248"/>
      <c r="X1542" s="248"/>
      <c r="Y1542" s="248"/>
      <c r="Z1542" s="248"/>
      <c r="AA1542" s="248"/>
      <c r="AB1542" s="248"/>
      <c r="AC1542" s="248"/>
      <c r="AD1542" s="248"/>
      <c r="AE1542" s="248"/>
      <c r="AF1542" s="248"/>
      <c r="AG1542" s="248"/>
      <c r="AH1542" s="248"/>
      <c r="AI1542" s="248"/>
      <c r="AJ1542" s="248"/>
      <c r="AK1542" s="248"/>
      <c r="AL1542" s="248"/>
      <c r="AM1542" s="248"/>
    </row>
    <row r="1543" spans="2:39" s="231" customFormat="1" ht="12.75" customHeight="1">
      <c r="B1543" s="3"/>
      <c r="C1543" s="3"/>
      <c r="D1543" s="3"/>
      <c r="F1543" s="569" t="s">
        <v>1658</v>
      </c>
      <c r="G1543" s="569"/>
      <c r="H1543" s="569"/>
      <c r="I1543" s="569"/>
      <c r="J1543" s="569"/>
      <c r="K1543" s="569"/>
      <c r="L1543" s="569"/>
      <c r="M1543" s="569"/>
      <c r="N1543" s="569"/>
      <c r="O1543" s="569"/>
      <c r="P1543" s="569"/>
      <c r="Q1543" s="569"/>
      <c r="R1543" s="569"/>
      <c r="S1543" s="569"/>
      <c r="T1543" s="569"/>
      <c r="U1543" s="569"/>
      <c r="V1543" s="569"/>
      <c r="W1543" s="569"/>
      <c r="X1543" s="569"/>
      <c r="Y1543" s="569"/>
      <c r="Z1543" s="569"/>
      <c r="AA1543" s="569"/>
      <c r="AB1543" s="569"/>
      <c r="AC1543" s="569"/>
      <c r="AD1543" s="569"/>
      <c r="AE1543" s="569"/>
      <c r="AF1543" s="569"/>
      <c r="AG1543" s="569"/>
      <c r="AH1543" s="569"/>
      <c r="AI1543" s="569"/>
      <c r="AJ1543" s="569"/>
      <c r="AK1543" s="569"/>
      <c r="AL1543" s="569"/>
      <c r="AM1543" s="249"/>
    </row>
    <row r="1544" spans="2:39" s="231" customFormat="1">
      <c r="B1544" s="3"/>
      <c r="C1544" s="3"/>
      <c r="D1544" s="3"/>
      <c r="F1544" s="569"/>
      <c r="G1544" s="569"/>
      <c r="H1544" s="569"/>
      <c r="I1544" s="569"/>
      <c r="J1544" s="569"/>
      <c r="K1544" s="569"/>
      <c r="L1544" s="569"/>
      <c r="M1544" s="569"/>
      <c r="N1544" s="569"/>
      <c r="O1544" s="569"/>
      <c r="P1544" s="569"/>
      <c r="Q1544" s="569"/>
      <c r="R1544" s="569"/>
      <c r="S1544" s="569"/>
      <c r="T1544" s="569"/>
      <c r="U1544" s="569"/>
      <c r="V1544" s="569"/>
      <c r="W1544" s="569"/>
      <c r="X1544" s="569"/>
      <c r="Y1544" s="569"/>
      <c r="Z1544" s="569"/>
      <c r="AA1544" s="569"/>
      <c r="AB1544" s="569"/>
      <c r="AC1544" s="569"/>
      <c r="AD1544" s="569"/>
      <c r="AE1544" s="569"/>
      <c r="AF1544" s="569"/>
      <c r="AG1544" s="569"/>
      <c r="AH1544" s="569"/>
      <c r="AI1544" s="569"/>
      <c r="AJ1544" s="569"/>
      <c r="AK1544" s="569"/>
      <c r="AL1544" s="569"/>
      <c r="AM1544" s="249"/>
    </row>
    <row r="1545" spans="2:39" s="231" customFormat="1">
      <c r="B1545" s="3"/>
      <c r="C1545" s="3"/>
      <c r="D1545" s="3"/>
      <c r="F1545" s="248"/>
      <c r="G1545" s="248"/>
      <c r="H1545" s="248"/>
      <c r="I1545" s="248"/>
      <c r="J1545" s="248"/>
      <c r="K1545" s="248"/>
      <c r="L1545" s="248"/>
      <c r="M1545" s="248"/>
      <c r="N1545" s="248"/>
      <c r="O1545" s="248"/>
      <c r="P1545" s="248"/>
      <c r="Q1545" s="248"/>
      <c r="R1545" s="248"/>
      <c r="S1545" s="248"/>
      <c r="T1545" s="248"/>
      <c r="U1545" s="248"/>
      <c r="V1545" s="248"/>
      <c r="W1545" s="248"/>
      <c r="X1545" s="248"/>
      <c r="Y1545" s="248"/>
      <c r="Z1545" s="248"/>
      <c r="AA1545" s="248"/>
      <c r="AB1545" s="248"/>
      <c r="AC1545" s="248"/>
      <c r="AD1545" s="248"/>
      <c r="AE1545" s="248"/>
      <c r="AF1545" s="248"/>
      <c r="AG1545" s="248"/>
      <c r="AH1545" s="248"/>
      <c r="AI1545" s="248"/>
      <c r="AJ1545" s="248"/>
      <c r="AK1545" s="248"/>
      <c r="AL1545" s="248"/>
      <c r="AM1545" s="248"/>
    </row>
    <row r="1546" spans="2:39" s="231" customFormat="1" ht="12.75" customHeight="1">
      <c r="B1546" s="46"/>
      <c r="C1546" s="46"/>
      <c r="D1546" s="46"/>
      <c r="F1546" s="329"/>
      <c r="L1546" s="329"/>
      <c r="R1546" s="228"/>
      <c r="S1546" s="228"/>
      <c r="T1546" s="228"/>
      <c r="U1546" s="228"/>
      <c r="W1546" s="256"/>
      <c r="X1546" s="256"/>
      <c r="Y1546" s="256"/>
      <c r="Z1546" s="256"/>
      <c r="AA1546" s="256"/>
      <c r="AB1546" s="596" t="s">
        <v>451</v>
      </c>
      <c r="AC1546" s="596"/>
      <c r="AD1546" s="596"/>
      <c r="AE1546" s="596"/>
      <c r="AF1546" s="596" t="s">
        <v>452</v>
      </c>
      <c r="AG1546" s="596"/>
      <c r="AH1546" s="596"/>
      <c r="AI1546" s="596"/>
      <c r="AJ1546" s="596" t="s">
        <v>352</v>
      </c>
      <c r="AK1546" s="596"/>
      <c r="AL1546" s="596"/>
      <c r="AM1546" s="596"/>
    </row>
    <row r="1547" spans="2:39" s="231" customFormat="1" ht="12.75" customHeight="1">
      <c r="B1547" s="46"/>
      <c r="C1547" s="46"/>
      <c r="D1547" s="46"/>
      <c r="F1547" s="329"/>
      <c r="L1547" s="329"/>
      <c r="R1547" s="228"/>
      <c r="S1547" s="228"/>
      <c r="T1547" s="228"/>
      <c r="U1547" s="228"/>
      <c r="W1547" s="256"/>
      <c r="X1547" s="256"/>
      <c r="Y1547" s="256"/>
      <c r="Z1547" s="256"/>
      <c r="AA1547" s="256"/>
      <c r="AB1547" s="597"/>
      <c r="AC1547" s="597"/>
      <c r="AD1547" s="597"/>
      <c r="AE1547" s="597"/>
      <c r="AF1547" s="597"/>
      <c r="AG1547" s="597"/>
      <c r="AH1547" s="597"/>
      <c r="AI1547" s="597"/>
      <c r="AJ1547" s="597"/>
      <c r="AK1547" s="597"/>
      <c r="AL1547" s="597"/>
      <c r="AM1547" s="597"/>
    </row>
    <row r="1548" spans="2:39" s="231" customFormat="1">
      <c r="B1548" s="46"/>
      <c r="C1548" s="46"/>
      <c r="D1548" s="46"/>
      <c r="F1548" s="737" t="s">
        <v>453</v>
      </c>
      <c r="G1548" s="737"/>
      <c r="H1548" s="737"/>
      <c r="I1548" s="737"/>
      <c r="J1548" s="737"/>
      <c r="K1548" s="737"/>
      <c r="L1548" s="737"/>
      <c r="M1548" s="737"/>
      <c r="N1548" s="737"/>
      <c r="O1548" s="737"/>
      <c r="P1548" s="737"/>
      <c r="Q1548" s="737"/>
      <c r="R1548" s="737"/>
      <c r="S1548" s="737"/>
      <c r="T1548" s="737"/>
      <c r="U1548" s="737"/>
      <c r="V1548" s="737"/>
      <c r="W1548" s="82"/>
      <c r="X1548" s="82"/>
      <c r="Y1548" s="82"/>
      <c r="Z1548" s="82"/>
      <c r="AA1548" s="82"/>
      <c r="AB1548" s="735"/>
      <c r="AC1548" s="735"/>
      <c r="AD1548" s="735"/>
      <c r="AE1548" s="735"/>
      <c r="AF1548" s="735"/>
      <c r="AG1548" s="735"/>
      <c r="AH1548" s="735"/>
      <c r="AI1548" s="735"/>
      <c r="AJ1548" s="735"/>
      <c r="AK1548" s="735"/>
      <c r="AL1548" s="735"/>
      <c r="AM1548" s="735"/>
    </row>
    <row r="1549" spans="2:39" s="231" customFormat="1" ht="12.75" customHeight="1">
      <c r="B1549" s="46"/>
      <c r="C1549" s="46"/>
      <c r="D1549" s="46"/>
      <c r="F1549" s="569" t="s">
        <v>454</v>
      </c>
      <c r="G1549" s="569"/>
      <c r="H1549" s="569"/>
      <c r="I1549" s="569"/>
      <c r="J1549" s="569"/>
      <c r="K1549" s="569"/>
      <c r="L1549" s="569"/>
      <c r="M1549" s="569"/>
      <c r="N1549" s="569"/>
      <c r="O1549" s="569"/>
      <c r="P1549" s="569"/>
      <c r="Q1549" s="569"/>
      <c r="R1549" s="569"/>
      <c r="S1549" s="569"/>
      <c r="T1549" s="569"/>
      <c r="U1549" s="569"/>
      <c r="V1549" s="569"/>
      <c r="W1549" s="330"/>
      <c r="X1549" s="330"/>
      <c r="Y1549" s="330"/>
      <c r="Z1549" s="330"/>
      <c r="AA1549" s="330"/>
      <c r="AB1549" s="733"/>
      <c r="AC1549" s="733"/>
      <c r="AD1549" s="733"/>
      <c r="AE1549" s="733"/>
      <c r="AF1549" s="733">
        <v>0</v>
      </c>
      <c r="AG1549" s="733"/>
      <c r="AH1549" s="733"/>
      <c r="AI1549" s="733"/>
      <c r="AJ1549" s="733">
        <f ca="1">SUM(W1549:AM1549)</f>
        <v>0</v>
      </c>
      <c r="AK1549" s="733"/>
      <c r="AL1549" s="733"/>
      <c r="AM1549" s="733"/>
    </row>
    <row r="1550" spans="2:39" s="231" customFormat="1" ht="12.75" customHeight="1">
      <c r="B1550" s="46"/>
      <c r="C1550" s="46"/>
      <c r="D1550" s="46"/>
      <c r="F1550" s="658" t="s">
        <v>59</v>
      </c>
      <c r="G1550" s="658"/>
      <c r="H1550" s="658"/>
      <c r="I1550" s="658"/>
      <c r="J1550" s="658"/>
      <c r="K1550" s="658"/>
      <c r="L1550" s="658"/>
      <c r="M1550" s="658"/>
      <c r="N1550" s="658"/>
      <c r="O1550" s="658"/>
      <c r="P1550" s="658"/>
      <c r="Q1550" s="658"/>
      <c r="R1550" s="658"/>
      <c r="S1550" s="658"/>
      <c r="T1550" s="658"/>
      <c r="U1550" s="658"/>
      <c r="V1550" s="230"/>
      <c r="W1550" s="330"/>
      <c r="X1550" s="330"/>
      <c r="Y1550" s="330"/>
      <c r="Z1550" s="330"/>
      <c r="AA1550" s="330"/>
      <c r="AB1550" s="744">
        <v>170</v>
      </c>
      <c r="AC1550" s="744"/>
      <c r="AD1550" s="744"/>
      <c r="AE1550" s="744"/>
      <c r="AF1550" s="744">
        <v>0</v>
      </c>
      <c r="AG1550" s="744"/>
      <c r="AH1550" s="744"/>
      <c r="AI1550" s="744"/>
      <c r="AJ1550" s="744">
        <f>AB1550</f>
        <v>170</v>
      </c>
      <c r="AK1550" s="744"/>
      <c r="AL1550" s="744"/>
      <c r="AM1550" s="744"/>
    </row>
    <row r="1551" spans="2:39" s="231" customFormat="1">
      <c r="B1551" s="46"/>
      <c r="C1551" s="46"/>
      <c r="D1551" s="46"/>
      <c r="F1551" s="737" t="s">
        <v>352</v>
      </c>
      <c r="G1551" s="737"/>
      <c r="H1551" s="737"/>
      <c r="I1551" s="737"/>
      <c r="J1551" s="737"/>
      <c r="K1551" s="737"/>
      <c r="L1551" s="737"/>
      <c r="M1551" s="737"/>
      <c r="N1551" s="737"/>
      <c r="O1551" s="737"/>
      <c r="P1551" s="737"/>
      <c r="R1551" s="331"/>
      <c r="S1551" s="331"/>
      <c r="T1551" s="331"/>
      <c r="U1551" s="331"/>
      <c r="V1551" s="230"/>
      <c r="W1551" s="332"/>
      <c r="X1551" s="332"/>
      <c r="Y1551" s="332"/>
      <c r="Z1551" s="332"/>
      <c r="AA1551" s="332"/>
      <c r="AB1551" s="736">
        <f>SUBTOTAL(9,AB1549:AB1550)</f>
        <v>170</v>
      </c>
      <c r="AC1551" s="736"/>
      <c r="AD1551" s="736"/>
      <c r="AE1551" s="736"/>
      <c r="AF1551" s="736">
        <f>SUM(AF1549:AI1549)</f>
        <v>0</v>
      </c>
      <c r="AG1551" s="736"/>
      <c r="AH1551" s="736"/>
      <c r="AI1551" s="736"/>
      <c r="AJ1551" s="736">
        <f>AB1551</f>
        <v>170</v>
      </c>
      <c r="AK1551" s="736"/>
      <c r="AL1551" s="736"/>
      <c r="AM1551" s="736"/>
    </row>
    <row r="1552" spans="2:39" s="231" customFormat="1">
      <c r="B1552" s="46"/>
      <c r="C1552" s="46"/>
      <c r="D1552" s="46"/>
      <c r="F1552" s="257"/>
      <c r="G1552" s="257"/>
      <c r="H1552" s="257"/>
      <c r="I1552" s="257"/>
      <c r="J1552" s="257"/>
      <c r="K1552" s="257"/>
      <c r="L1552" s="257"/>
      <c r="M1552" s="257"/>
      <c r="N1552" s="333"/>
      <c r="R1552" s="82"/>
      <c r="S1552" s="82"/>
      <c r="T1552" s="82"/>
      <c r="U1552" s="82"/>
      <c r="V1552" s="82"/>
      <c r="W1552" s="82"/>
      <c r="X1552" s="732"/>
      <c r="Y1552" s="732"/>
      <c r="Z1552" s="732"/>
      <c r="AA1552" s="732"/>
      <c r="AB1552" s="734"/>
      <c r="AC1552" s="734"/>
      <c r="AD1552" s="734"/>
      <c r="AE1552" s="734"/>
      <c r="AF1552" s="734"/>
      <c r="AG1552" s="734"/>
      <c r="AH1552" s="734"/>
      <c r="AI1552" s="734"/>
      <c r="AJ1552" s="734"/>
      <c r="AK1552" s="734"/>
      <c r="AL1552" s="734"/>
      <c r="AM1552" s="734"/>
    </row>
    <row r="1553" spans="2:39" s="231" customFormat="1">
      <c r="B1553" s="46"/>
      <c r="C1553" s="46"/>
      <c r="D1553" s="46"/>
      <c r="F1553" s="737" t="s">
        <v>455</v>
      </c>
      <c r="G1553" s="737"/>
      <c r="H1553" s="737"/>
      <c r="I1553" s="737"/>
      <c r="J1553" s="737"/>
      <c r="K1553" s="737"/>
      <c r="L1553" s="737"/>
      <c r="M1553" s="737"/>
      <c r="N1553" s="737"/>
      <c r="O1553" s="737"/>
      <c r="P1553" s="737"/>
      <c r="Q1553" s="737"/>
      <c r="R1553" s="737"/>
      <c r="S1553" s="737"/>
      <c r="T1553" s="737"/>
      <c r="U1553" s="737"/>
      <c r="V1553" s="737"/>
      <c r="W1553" s="82"/>
      <c r="X1553" s="732"/>
      <c r="Y1553" s="732"/>
      <c r="Z1553" s="732"/>
      <c r="AA1553" s="732"/>
      <c r="AB1553" s="732"/>
      <c r="AC1553" s="732"/>
      <c r="AD1553" s="732"/>
      <c r="AE1553" s="732"/>
      <c r="AF1553" s="732"/>
      <c r="AG1553" s="732"/>
      <c r="AH1553" s="732"/>
      <c r="AI1553" s="732"/>
      <c r="AJ1553" s="732"/>
      <c r="AK1553" s="732"/>
      <c r="AL1553" s="732"/>
      <c r="AM1553" s="732"/>
    </row>
    <row r="1554" spans="2:39" s="231" customFormat="1" ht="12.75" customHeight="1">
      <c r="B1554" s="46"/>
      <c r="C1554" s="46"/>
      <c r="D1554" s="46"/>
      <c r="F1554" s="569" t="s">
        <v>442</v>
      </c>
      <c r="G1554" s="569"/>
      <c r="H1554" s="569"/>
      <c r="I1554" s="569"/>
      <c r="J1554" s="569"/>
      <c r="K1554" s="569"/>
      <c r="L1554" s="569"/>
      <c r="M1554" s="569"/>
      <c r="N1554" s="569"/>
      <c r="O1554" s="569"/>
      <c r="P1554" s="569"/>
      <c r="Q1554" s="569"/>
      <c r="R1554" s="569"/>
      <c r="S1554" s="569"/>
      <c r="T1554" s="569"/>
      <c r="U1554" s="569"/>
      <c r="V1554" s="569"/>
      <c r="W1554" s="334"/>
      <c r="X1554" s="733"/>
      <c r="Y1554" s="733"/>
      <c r="Z1554" s="733"/>
      <c r="AA1554" s="733"/>
      <c r="AB1554" s="733">
        <v>0</v>
      </c>
      <c r="AC1554" s="733"/>
      <c r="AD1554" s="733"/>
      <c r="AE1554" s="733"/>
      <c r="AF1554" s="733">
        <v>0</v>
      </c>
      <c r="AG1554" s="733"/>
      <c r="AH1554" s="733"/>
      <c r="AI1554" s="733"/>
      <c r="AJ1554" s="733">
        <f ca="1">SUM(X1554:AM1554)</f>
        <v>0</v>
      </c>
      <c r="AK1554" s="733"/>
      <c r="AL1554" s="733"/>
      <c r="AM1554" s="733"/>
    </row>
    <row r="1555" spans="2:39" s="231" customFormat="1" ht="12.75" customHeight="1">
      <c r="B1555" s="46"/>
      <c r="C1555" s="46"/>
      <c r="D1555" s="46"/>
      <c r="F1555" s="569" t="s">
        <v>83</v>
      </c>
      <c r="G1555" s="569"/>
      <c r="H1555" s="569"/>
      <c r="I1555" s="569"/>
      <c r="J1555" s="569"/>
      <c r="K1555" s="569"/>
      <c r="L1555" s="569"/>
      <c r="M1555" s="569"/>
      <c r="N1555" s="569"/>
      <c r="O1555" s="569"/>
      <c r="P1555" s="569"/>
      <c r="Q1555" s="569"/>
      <c r="R1555" s="569"/>
      <c r="S1555" s="569"/>
      <c r="T1555" s="569"/>
      <c r="U1555" s="569"/>
      <c r="V1555" s="569"/>
      <c r="W1555" s="334"/>
      <c r="X1555" s="733"/>
      <c r="Y1555" s="733"/>
      <c r="Z1555" s="733"/>
      <c r="AA1555" s="733"/>
      <c r="AB1555" s="733"/>
      <c r="AC1555" s="733"/>
      <c r="AD1555" s="733"/>
      <c r="AE1555" s="733"/>
      <c r="AF1555" s="733">
        <v>0</v>
      </c>
      <c r="AG1555" s="733"/>
      <c r="AH1555" s="733"/>
      <c r="AI1555" s="733"/>
      <c r="AJ1555" s="733"/>
      <c r="AK1555" s="733"/>
      <c r="AL1555" s="733"/>
      <c r="AM1555" s="733"/>
    </row>
    <row r="1556" spans="2:39" s="231" customFormat="1" ht="12.75" customHeight="1">
      <c r="B1556" s="46"/>
      <c r="C1556" s="46"/>
      <c r="D1556" s="46"/>
      <c r="F1556" s="569" t="s">
        <v>456</v>
      </c>
      <c r="G1556" s="569"/>
      <c r="H1556" s="569"/>
      <c r="I1556" s="569"/>
      <c r="J1556" s="569"/>
      <c r="K1556" s="569"/>
      <c r="L1556" s="569"/>
      <c r="M1556" s="569"/>
      <c r="N1556" s="569"/>
      <c r="O1556" s="569"/>
      <c r="P1556" s="569"/>
      <c r="Q1556" s="569"/>
      <c r="R1556" s="569"/>
      <c r="S1556" s="569"/>
      <c r="T1556" s="569"/>
      <c r="U1556" s="569"/>
      <c r="V1556" s="569"/>
      <c r="W1556" s="334"/>
      <c r="X1556" s="733"/>
      <c r="Y1556" s="733"/>
      <c r="Z1556" s="733"/>
      <c r="AA1556" s="733"/>
      <c r="AB1556" s="744">
        <v>2160</v>
      </c>
      <c r="AC1556" s="744"/>
      <c r="AD1556" s="744"/>
      <c r="AE1556" s="744"/>
      <c r="AF1556" s="744">
        <v>0</v>
      </c>
      <c r="AG1556" s="744"/>
      <c r="AH1556" s="744"/>
      <c r="AI1556" s="744"/>
      <c r="AJ1556" s="733">
        <f>AB1556</f>
        <v>2160</v>
      </c>
      <c r="AK1556" s="733"/>
      <c r="AL1556" s="733"/>
      <c r="AM1556" s="733"/>
    </row>
    <row r="1557" spans="2:39" s="231" customFormat="1">
      <c r="B1557" s="46"/>
      <c r="C1557" s="46"/>
      <c r="D1557" s="46"/>
      <c r="F1557" s="737" t="s">
        <v>352</v>
      </c>
      <c r="G1557" s="742"/>
      <c r="H1557" s="742"/>
      <c r="I1557" s="742"/>
      <c r="J1557" s="742"/>
      <c r="K1557" s="742"/>
      <c r="L1557" s="742"/>
      <c r="M1557" s="742"/>
      <c r="N1557" s="742"/>
      <c r="O1557" s="742"/>
      <c r="P1557" s="742"/>
      <c r="Q1557" s="742"/>
      <c r="R1557" s="742"/>
      <c r="S1557" s="742"/>
      <c r="T1557" s="314"/>
      <c r="U1557" s="314"/>
      <c r="V1557" s="315"/>
      <c r="W1557" s="331"/>
      <c r="X1557" s="756"/>
      <c r="Y1557" s="756"/>
      <c r="Z1557" s="756"/>
      <c r="AA1557" s="756"/>
      <c r="AB1557" s="736">
        <f>SUM(AB1554:AE1556)</f>
        <v>2160</v>
      </c>
      <c r="AC1557" s="736"/>
      <c r="AD1557" s="736"/>
      <c r="AE1557" s="736"/>
      <c r="AF1557" s="736">
        <f>SUM(AF1554:AI1556)</f>
        <v>0</v>
      </c>
      <c r="AG1557" s="736"/>
      <c r="AH1557" s="736"/>
      <c r="AI1557" s="736"/>
      <c r="AJ1557" s="736">
        <f>AB1557</f>
        <v>2160</v>
      </c>
      <c r="AK1557" s="736"/>
      <c r="AL1557" s="736"/>
      <c r="AM1557" s="736"/>
    </row>
    <row r="1558" spans="2:39" s="231" customFormat="1">
      <c r="B1558" s="46"/>
      <c r="C1558" s="46"/>
      <c r="D1558" s="46"/>
      <c r="F1558" s="325"/>
      <c r="R1558" s="18"/>
      <c r="S1558" s="18"/>
      <c r="T1558" s="18"/>
      <c r="U1558" s="18"/>
      <c r="V1558" s="18"/>
      <c r="W1558" s="18"/>
      <c r="X1558" s="335"/>
      <c r="Y1558" s="335"/>
      <c r="Z1558" s="335"/>
      <c r="AA1558" s="335"/>
      <c r="AB1558" s="266"/>
      <c r="AC1558" s="266"/>
      <c r="AD1558" s="266"/>
      <c r="AE1558" s="266"/>
      <c r="AF1558" s="266"/>
      <c r="AG1558" s="266"/>
      <c r="AH1558" s="266"/>
      <c r="AI1558" s="266"/>
      <c r="AJ1558" s="266"/>
      <c r="AK1558" s="266"/>
      <c r="AL1558" s="266"/>
      <c r="AM1558" s="336"/>
    </row>
    <row r="1559" spans="2:39" s="231" customFormat="1" ht="13.5" thickBot="1">
      <c r="B1559" s="46"/>
      <c r="C1559" s="46"/>
      <c r="D1559" s="46"/>
      <c r="F1559" s="737" t="s">
        <v>457</v>
      </c>
      <c r="G1559" s="742"/>
      <c r="H1559" s="742"/>
      <c r="I1559" s="742"/>
      <c r="J1559" s="742"/>
      <c r="K1559" s="742"/>
      <c r="L1559" s="742"/>
      <c r="M1559" s="742"/>
      <c r="N1559" s="742"/>
      <c r="O1559" s="742"/>
      <c r="P1559" s="742"/>
      <c r="Q1559" s="742"/>
      <c r="R1559" s="742"/>
      <c r="S1559" s="742"/>
      <c r="T1559" s="314"/>
      <c r="U1559" s="314"/>
      <c r="V1559" s="315"/>
      <c r="W1559" s="331"/>
      <c r="X1559" s="756"/>
      <c r="Y1559" s="756"/>
      <c r="Z1559" s="756"/>
      <c r="AA1559" s="756"/>
      <c r="AB1559" s="757">
        <f>AB1551-AB1557</f>
        <v>-1990</v>
      </c>
      <c r="AC1559" s="757"/>
      <c r="AD1559" s="757"/>
      <c r="AE1559" s="757"/>
      <c r="AF1559" s="757">
        <f>AF1551-AF1557</f>
        <v>0</v>
      </c>
      <c r="AG1559" s="757"/>
      <c r="AH1559" s="757"/>
      <c r="AI1559" s="757"/>
      <c r="AJ1559" s="757">
        <f>AB1559</f>
        <v>-1990</v>
      </c>
      <c r="AK1559" s="757"/>
      <c r="AL1559" s="757"/>
      <c r="AM1559" s="757"/>
    </row>
    <row r="1560" spans="2:39" s="231" customFormat="1" ht="13.5" thickTop="1">
      <c r="B1560" s="3"/>
      <c r="C1560" s="3"/>
      <c r="D1560" s="3"/>
      <c r="F1560" s="314"/>
      <c r="G1560" s="337"/>
      <c r="H1560" s="337"/>
      <c r="I1560" s="337"/>
      <c r="J1560" s="337"/>
      <c r="K1560" s="337"/>
      <c r="L1560" s="337"/>
      <c r="M1560" s="337"/>
      <c r="N1560" s="337"/>
      <c r="O1560" s="337"/>
      <c r="P1560" s="337"/>
      <c r="Q1560" s="337"/>
      <c r="R1560" s="337"/>
      <c r="S1560" s="337"/>
      <c r="T1560" s="314"/>
      <c r="U1560" s="314"/>
      <c r="V1560" s="315"/>
      <c r="W1560" s="331"/>
      <c r="X1560" s="332"/>
      <c r="Y1560" s="332"/>
      <c r="Z1560" s="332"/>
      <c r="AA1560" s="332"/>
      <c r="AB1560" s="332"/>
      <c r="AC1560" s="332"/>
      <c r="AD1560" s="332"/>
      <c r="AE1560" s="332"/>
      <c r="AF1560" s="332"/>
      <c r="AG1560" s="332"/>
      <c r="AH1560" s="332"/>
      <c r="AI1560" s="332"/>
      <c r="AJ1560" s="332"/>
      <c r="AK1560" s="332"/>
      <c r="AL1560" s="332"/>
      <c r="AM1560" s="332"/>
    </row>
    <row r="1561" spans="2:39" s="361" customFormat="1">
      <c r="F1561" s="355"/>
      <c r="G1561" s="356"/>
      <c r="H1561" s="356"/>
      <c r="I1561" s="356"/>
      <c r="J1561" s="356"/>
      <c r="K1561" s="356"/>
      <c r="L1561" s="356"/>
      <c r="M1561" s="356"/>
      <c r="N1561" s="356"/>
      <c r="O1561" s="356"/>
      <c r="P1561" s="356"/>
      <c r="Q1561" s="356"/>
      <c r="R1561" s="356"/>
      <c r="S1561" s="356"/>
      <c r="T1561" s="355"/>
      <c r="U1561" s="355"/>
      <c r="V1561" s="315"/>
      <c r="W1561" s="331"/>
      <c r="X1561" s="357"/>
      <c r="Y1561" s="357"/>
      <c r="Z1561" s="357"/>
      <c r="AA1561" s="357"/>
      <c r="AB1561" s="357"/>
      <c r="AC1561" s="357"/>
      <c r="AD1561" s="357"/>
      <c r="AE1561" s="357"/>
      <c r="AF1561" s="357"/>
      <c r="AG1561" s="357"/>
      <c r="AH1561" s="357"/>
      <c r="AI1561" s="357"/>
      <c r="AJ1561" s="357"/>
      <c r="AK1561" s="357"/>
      <c r="AL1561" s="357"/>
      <c r="AM1561" s="357"/>
    </row>
    <row r="1562" spans="2:39" s="361" customFormat="1">
      <c r="F1562" s="355"/>
      <c r="G1562" s="356"/>
      <c r="H1562" s="356"/>
      <c r="I1562" s="356"/>
      <c r="J1562" s="356"/>
      <c r="K1562" s="356"/>
      <c r="L1562" s="356"/>
      <c r="M1562" s="356"/>
      <c r="N1562" s="356"/>
      <c r="O1562" s="356"/>
      <c r="P1562" s="356"/>
      <c r="Q1562" s="356"/>
      <c r="R1562" s="356"/>
      <c r="S1562" s="356"/>
      <c r="T1562" s="355"/>
      <c r="U1562" s="355"/>
      <c r="V1562" s="315"/>
      <c r="W1562" s="331"/>
      <c r="X1562" s="357"/>
      <c r="Y1562" s="357"/>
      <c r="Z1562" s="357"/>
      <c r="AA1562" s="357"/>
      <c r="AB1562" s="357"/>
      <c r="AC1562" s="357"/>
      <c r="AD1562" s="357"/>
      <c r="AE1562" s="357"/>
      <c r="AF1562" s="357"/>
      <c r="AG1562" s="357"/>
      <c r="AH1562" s="357"/>
      <c r="AI1562" s="357"/>
      <c r="AJ1562" s="357"/>
      <c r="AK1562" s="357"/>
      <c r="AL1562" s="357"/>
      <c r="AM1562" s="357"/>
    </row>
    <row r="1563" spans="2:39" s="231" customFormat="1">
      <c r="B1563" s="3"/>
      <c r="C1563" s="3"/>
      <c r="D1563" s="3"/>
      <c r="F1563" s="314"/>
      <c r="G1563" s="337"/>
      <c r="H1563" s="337"/>
      <c r="I1563" s="337"/>
      <c r="J1563" s="337"/>
      <c r="K1563" s="337"/>
      <c r="L1563" s="337"/>
      <c r="M1563" s="337"/>
      <c r="N1563" s="337"/>
      <c r="O1563" s="337"/>
      <c r="P1563" s="337"/>
      <c r="Q1563" s="337"/>
      <c r="R1563" s="337"/>
      <c r="S1563" s="337"/>
      <c r="T1563" s="314"/>
      <c r="U1563" s="314"/>
      <c r="V1563" s="315"/>
      <c r="W1563" s="331"/>
      <c r="X1563" s="332"/>
      <c r="Y1563" s="332"/>
      <c r="Z1563" s="332"/>
      <c r="AA1563" s="332"/>
      <c r="AB1563" s="332"/>
      <c r="AC1563" s="332"/>
      <c r="AD1563" s="332"/>
      <c r="AE1563" s="332"/>
      <c r="AF1563" s="332"/>
      <c r="AG1563" s="332"/>
      <c r="AH1563" s="332"/>
      <c r="AI1563" s="332"/>
      <c r="AJ1563" s="332"/>
      <c r="AK1563" s="332"/>
      <c r="AL1563" s="332"/>
      <c r="AM1563" s="332"/>
    </row>
    <row r="1564" spans="2:39" s="231" customFormat="1">
      <c r="B1564" s="3"/>
      <c r="C1564" s="3"/>
      <c r="D1564" s="3"/>
      <c r="E1564" s="10"/>
      <c r="F1564" s="10"/>
      <c r="G1564" s="10"/>
      <c r="H1564" s="10"/>
      <c r="I1564" s="10"/>
      <c r="J1564" s="10"/>
      <c r="K1564" s="10"/>
      <c r="L1564" s="10"/>
      <c r="M1564" s="10"/>
      <c r="N1564" s="10"/>
      <c r="O1564" s="10"/>
      <c r="P1564" s="10"/>
      <c r="Q1564" s="10"/>
      <c r="R1564" s="10"/>
      <c r="S1564" s="10"/>
      <c r="T1564" s="10"/>
      <c r="U1564" s="10"/>
      <c r="V1564" s="10"/>
      <c r="W1564" s="10"/>
      <c r="X1564" s="10"/>
      <c r="Y1564" s="10"/>
      <c r="Z1564" s="10"/>
      <c r="AA1564" s="10"/>
      <c r="AB1564" s="10"/>
      <c r="AC1564" s="10"/>
      <c r="AD1564" s="10"/>
      <c r="AE1564" s="10"/>
      <c r="AF1564" s="10"/>
      <c r="AG1564" s="10"/>
      <c r="AH1564" s="10"/>
      <c r="AI1564" s="10"/>
      <c r="AJ1564" s="226" t="s">
        <v>24</v>
      </c>
      <c r="AK1564" s="612">
        <v>23</v>
      </c>
      <c r="AL1564" s="612"/>
      <c r="AM1564" s="226" t="s">
        <v>24</v>
      </c>
    </row>
    <row r="1565" spans="2:39" s="231" customFormat="1">
      <c r="B1565" s="96"/>
      <c r="C1565" s="96"/>
      <c r="D1565" s="96"/>
      <c r="E1565" s="121"/>
      <c r="F1565" s="121"/>
      <c r="G1565" s="121"/>
      <c r="H1565" s="121"/>
      <c r="I1565" s="121"/>
      <c r="J1565" s="121"/>
      <c r="K1565" s="121"/>
      <c r="L1565" s="121"/>
      <c r="M1565" s="121"/>
      <c r="N1565" s="121"/>
      <c r="O1565" s="121"/>
      <c r="P1565" s="121"/>
      <c r="Q1565" s="121"/>
      <c r="R1565" s="121"/>
      <c r="S1565" s="121"/>
      <c r="T1565" s="121"/>
      <c r="U1565" s="121"/>
      <c r="V1565" s="121"/>
      <c r="W1565" s="121"/>
      <c r="X1565" s="121"/>
      <c r="Y1565" s="121"/>
      <c r="Z1565" s="121"/>
      <c r="AA1565" s="121"/>
      <c r="AB1565" s="121"/>
      <c r="AC1565" s="121"/>
      <c r="AD1565" s="121"/>
      <c r="AE1565" s="121"/>
      <c r="AF1565" s="121"/>
      <c r="AG1565" s="121"/>
      <c r="AH1565" s="121"/>
      <c r="AI1565" s="121"/>
      <c r="AJ1565" s="121"/>
      <c r="AK1565" s="121"/>
      <c r="AL1565" s="121"/>
      <c r="AM1565" s="112"/>
    </row>
    <row r="1566" spans="2:39" s="361" customFormat="1">
      <c r="E1566" s="366"/>
      <c r="F1566" s="366"/>
      <c r="G1566" s="366"/>
      <c r="H1566" s="366"/>
      <c r="I1566" s="366"/>
      <c r="J1566" s="366"/>
      <c r="K1566" s="366"/>
      <c r="L1566" s="366"/>
      <c r="M1566" s="366"/>
      <c r="N1566" s="366"/>
      <c r="O1566" s="366"/>
      <c r="P1566" s="366"/>
      <c r="Q1566" s="366"/>
      <c r="R1566" s="366"/>
      <c r="S1566" s="366"/>
      <c r="T1566" s="366"/>
      <c r="U1566" s="366"/>
      <c r="V1566" s="366"/>
      <c r="W1566" s="366"/>
      <c r="X1566" s="366"/>
      <c r="Y1566" s="366"/>
      <c r="Z1566" s="366"/>
      <c r="AA1566" s="366"/>
      <c r="AB1566" s="366"/>
      <c r="AC1566" s="366"/>
      <c r="AD1566" s="366"/>
      <c r="AE1566" s="366"/>
      <c r="AF1566" s="366"/>
      <c r="AG1566" s="366"/>
      <c r="AH1566" s="366"/>
      <c r="AI1566" s="366"/>
      <c r="AJ1566" s="366"/>
      <c r="AK1566" s="366"/>
      <c r="AL1566" s="366"/>
      <c r="AM1566" s="362"/>
    </row>
    <row r="1567" spans="2:39" s="361" customFormat="1">
      <c r="E1567" s="366"/>
      <c r="F1567" s="366"/>
      <c r="G1567" s="366"/>
      <c r="H1567" s="366"/>
      <c r="I1567" s="366"/>
      <c r="J1567" s="366"/>
      <c r="K1567" s="366"/>
      <c r="L1567" s="366"/>
      <c r="M1567" s="366"/>
      <c r="N1567" s="366"/>
      <c r="O1567" s="366"/>
      <c r="P1567" s="366"/>
      <c r="Q1567" s="366"/>
      <c r="R1567" s="366"/>
      <c r="S1567" s="366"/>
      <c r="T1567" s="366"/>
      <c r="U1567" s="366"/>
      <c r="V1567" s="366"/>
      <c r="W1567" s="366"/>
      <c r="X1567" s="366"/>
      <c r="Y1567" s="366"/>
      <c r="Z1567" s="366"/>
      <c r="AA1567" s="366"/>
      <c r="AB1567" s="366"/>
      <c r="AC1567" s="366"/>
      <c r="AD1567" s="366"/>
      <c r="AE1567" s="366"/>
      <c r="AF1567" s="366"/>
      <c r="AG1567" s="366"/>
      <c r="AH1567" s="366"/>
      <c r="AI1567" s="366"/>
      <c r="AJ1567" s="366"/>
      <c r="AK1567" s="366"/>
      <c r="AL1567" s="366"/>
      <c r="AM1567" s="362"/>
    </row>
    <row r="1568" spans="2:39" s="231" customFormat="1">
      <c r="E1568" s="265" t="str">
        <f>UPPER($Y$28)</f>
        <v>ПТ ЛОМБАРД "МЕРКУРІЙ"</v>
      </c>
      <c r="F1568" s="265"/>
      <c r="G1568" s="265"/>
      <c r="H1568" s="265"/>
      <c r="I1568" s="265"/>
      <c r="J1568" s="265"/>
      <c r="K1568" s="265"/>
      <c r="L1568" s="265"/>
      <c r="M1568" s="265"/>
      <c r="N1568" s="265"/>
      <c r="O1568" s="265"/>
      <c r="P1568" s="265"/>
      <c r="Q1568" s="265"/>
      <c r="R1568" s="265"/>
      <c r="S1568" s="265"/>
      <c r="T1568" s="265"/>
      <c r="U1568" s="265"/>
      <c r="V1568" s="265"/>
      <c r="W1568" s="265"/>
      <c r="X1568" s="265"/>
      <c r="Y1568" s="265"/>
      <c r="Z1568" s="265"/>
      <c r="AA1568" s="265"/>
      <c r="AB1568" s="265"/>
      <c r="AC1568" s="265"/>
      <c r="AD1568" s="265"/>
      <c r="AE1568" s="265"/>
      <c r="AF1568" s="265"/>
      <c r="AG1568" s="265"/>
      <c r="AH1568" s="265"/>
      <c r="AI1568" s="265"/>
      <c r="AJ1568" s="265"/>
      <c r="AK1568" s="265"/>
      <c r="AL1568" s="265"/>
      <c r="AM1568" s="265"/>
    </row>
    <row r="1569" spans="2:39" s="231" customFormat="1">
      <c r="E1569" s="269" t="s">
        <v>143</v>
      </c>
      <c r="F1569" s="269"/>
      <c r="G1569" s="269"/>
      <c r="H1569" s="269"/>
      <c r="I1569" s="269"/>
      <c r="J1569" s="269"/>
      <c r="K1569" s="269"/>
      <c r="L1569" s="269"/>
      <c r="M1569" s="269"/>
      <c r="N1569" s="269"/>
      <c r="O1569" s="269"/>
      <c r="P1569" s="269"/>
      <c r="Q1569" s="269"/>
      <c r="R1569" s="269"/>
      <c r="S1569" s="269"/>
      <c r="T1569" s="269"/>
      <c r="U1569" s="269"/>
      <c r="V1569" s="269"/>
      <c r="W1569" s="269"/>
      <c r="X1569" s="269"/>
      <c r="Y1569" s="269"/>
      <c r="Z1569" s="269"/>
      <c r="AA1569" s="269"/>
      <c r="AB1569" s="269"/>
      <c r="AC1569" s="269"/>
      <c r="AD1569" s="269"/>
      <c r="AE1569" s="269"/>
      <c r="AF1569" s="269"/>
      <c r="AG1569" s="269"/>
      <c r="AH1569" s="269"/>
      <c r="AI1569" s="269"/>
      <c r="AJ1569" s="269"/>
      <c r="AK1569" s="269"/>
      <c r="AL1569" s="269"/>
      <c r="AM1569" s="269"/>
    </row>
    <row r="1570" spans="2:39" s="231" customFormat="1">
      <c r="E1570" s="269" t="str">
        <f>$E$274</f>
        <v>ЗА РІК, ЩО ЗАКІНЧИВСЯ 31 ГРУДНЯ 2020 РОКУ</v>
      </c>
      <c r="F1570" s="269"/>
      <c r="G1570" s="269"/>
      <c r="H1570" s="269"/>
      <c r="I1570" s="269"/>
      <c r="J1570" s="269"/>
      <c r="K1570" s="269"/>
      <c r="L1570" s="269"/>
      <c r="M1570" s="269"/>
      <c r="N1570" s="269"/>
      <c r="O1570" s="269"/>
      <c r="P1570" s="269"/>
      <c r="Q1570" s="269"/>
      <c r="R1570" s="269"/>
      <c r="S1570" s="269"/>
      <c r="T1570" s="269"/>
      <c r="U1570" s="269"/>
      <c r="V1570" s="269"/>
      <c r="W1570" s="269"/>
      <c r="X1570" s="269"/>
      <c r="Y1570" s="269"/>
      <c r="Z1570" s="269"/>
      <c r="AA1570" s="269"/>
      <c r="AB1570" s="269"/>
      <c r="AC1570" s="269"/>
      <c r="AD1570" s="269"/>
      <c r="AE1570" s="269"/>
      <c r="AF1570" s="269"/>
      <c r="AG1570" s="269"/>
      <c r="AH1570" s="269"/>
      <c r="AI1570" s="269"/>
      <c r="AJ1570" s="269"/>
      <c r="AK1570" s="269"/>
      <c r="AL1570" s="269"/>
      <c r="AM1570" s="269"/>
    </row>
    <row r="1571" spans="2:39" s="231" customFormat="1">
      <c r="E1571" s="244" t="str">
        <f>$E$209</f>
        <v>(в тисячах гривень, якщо не вказано інше)</v>
      </c>
      <c r="F1571" s="244"/>
      <c r="G1571" s="244"/>
      <c r="H1571" s="244"/>
      <c r="I1571" s="244"/>
      <c r="J1571" s="244"/>
      <c r="K1571" s="244"/>
      <c r="L1571" s="244"/>
      <c r="M1571" s="244"/>
      <c r="N1571" s="244"/>
      <c r="O1571" s="244"/>
      <c r="P1571" s="244"/>
      <c r="Q1571" s="244"/>
      <c r="R1571" s="244"/>
      <c r="S1571" s="244"/>
      <c r="T1571" s="244"/>
      <c r="U1571" s="244"/>
      <c r="V1571" s="244"/>
      <c r="W1571" s="244"/>
      <c r="X1571" s="244"/>
      <c r="Y1571" s="244"/>
      <c r="Z1571" s="244"/>
      <c r="AA1571" s="244"/>
      <c r="AB1571" s="244"/>
      <c r="AC1571" s="244"/>
      <c r="AD1571" s="244"/>
      <c r="AE1571" s="244"/>
      <c r="AF1571" s="244"/>
      <c r="AG1571" s="244"/>
      <c r="AH1571" s="244"/>
      <c r="AI1571" s="244"/>
      <c r="AJ1571" s="244"/>
      <c r="AK1571" s="244"/>
      <c r="AL1571" s="244"/>
      <c r="AM1571" s="244"/>
    </row>
    <row r="1572" spans="2:39" s="231" customFormat="1">
      <c r="B1572" s="3"/>
      <c r="C1572" s="3"/>
      <c r="D1572" s="3"/>
      <c r="F1572" s="325"/>
    </row>
    <row r="1573" spans="2:39" s="231" customFormat="1">
      <c r="B1573" s="3"/>
      <c r="C1573" s="3"/>
      <c r="D1573" s="3"/>
      <c r="F1573" s="314" t="s">
        <v>458</v>
      </c>
      <c r="G1573" s="314"/>
      <c r="H1573" s="314"/>
      <c r="I1573" s="314"/>
      <c r="J1573" s="314"/>
      <c r="K1573" s="314"/>
      <c r="L1573" s="314"/>
      <c r="M1573" s="314"/>
      <c r="N1573" s="314"/>
      <c r="O1573" s="314"/>
      <c r="P1573" s="314"/>
      <c r="Q1573" s="314"/>
      <c r="R1573" s="314"/>
      <c r="S1573" s="314"/>
      <c r="T1573" s="314"/>
      <c r="U1573" s="314"/>
      <c r="V1573" s="314"/>
      <c r="W1573" s="314"/>
      <c r="X1573" s="314"/>
      <c r="Y1573" s="314"/>
      <c r="Z1573" s="314"/>
      <c r="AA1573" s="314"/>
      <c r="AB1573" s="314"/>
      <c r="AC1573" s="314"/>
      <c r="AD1573" s="314"/>
      <c r="AE1573" s="314"/>
      <c r="AF1573" s="314"/>
      <c r="AG1573" s="314"/>
      <c r="AH1573" s="314"/>
      <c r="AI1573" s="314"/>
      <c r="AJ1573" s="314"/>
      <c r="AK1573" s="314"/>
      <c r="AL1573" s="314"/>
      <c r="AM1573" s="314"/>
    </row>
    <row r="1574" spans="2:39" s="231" customFormat="1" ht="14.1" customHeight="1">
      <c r="B1574" s="3"/>
      <c r="C1574" s="3"/>
      <c r="D1574" s="3"/>
      <c r="F1574" s="569" t="s">
        <v>459</v>
      </c>
      <c r="G1574" s="569"/>
      <c r="H1574" s="569"/>
      <c r="I1574" s="569"/>
      <c r="J1574" s="569"/>
      <c r="K1574" s="569"/>
      <c r="L1574" s="569"/>
      <c r="M1574" s="569"/>
      <c r="N1574" s="569"/>
      <c r="O1574" s="569"/>
      <c r="P1574" s="569"/>
      <c r="Q1574" s="569"/>
      <c r="R1574" s="569"/>
      <c r="S1574" s="569"/>
      <c r="T1574" s="569"/>
      <c r="U1574" s="569"/>
      <c r="V1574" s="569"/>
      <c r="W1574" s="569"/>
      <c r="X1574" s="569"/>
      <c r="Y1574" s="569"/>
      <c r="Z1574" s="569"/>
      <c r="AA1574" s="569"/>
      <c r="AB1574" s="569"/>
      <c r="AC1574" s="569"/>
      <c r="AD1574" s="569"/>
      <c r="AE1574" s="569"/>
      <c r="AF1574" s="569"/>
      <c r="AG1574" s="569"/>
      <c r="AH1574" s="569"/>
      <c r="AI1574" s="569"/>
      <c r="AJ1574" s="569"/>
      <c r="AK1574" s="569"/>
      <c r="AL1574" s="569"/>
      <c r="AM1574" s="249"/>
    </row>
    <row r="1575" spans="2:39" s="231" customFormat="1">
      <c r="B1575" s="3"/>
      <c r="C1575" s="3"/>
      <c r="D1575" s="3"/>
      <c r="F1575" s="569"/>
      <c r="G1575" s="569"/>
      <c r="H1575" s="569"/>
      <c r="I1575" s="569"/>
      <c r="J1575" s="569"/>
      <c r="K1575" s="569"/>
      <c r="L1575" s="569"/>
      <c r="M1575" s="569"/>
      <c r="N1575" s="569"/>
      <c r="O1575" s="569"/>
      <c r="P1575" s="569"/>
      <c r="Q1575" s="569"/>
      <c r="R1575" s="569"/>
      <c r="S1575" s="569"/>
      <c r="T1575" s="569"/>
      <c r="U1575" s="569"/>
      <c r="V1575" s="569"/>
      <c r="W1575" s="569"/>
      <c r="X1575" s="569"/>
      <c r="Y1575" s="569"/>
      <c r="Z1575" s="569"/>
      <c r="AA1575" s="569"/>
      <c r="AB1575" s="569"/>
      <c r="AC1575" s="569"/>
      <c r="AD1575" s="569"/>
      <c r="AE1575" s="569"/>
      <c r="AF1575" s="569"/>
      <c r="AG1575" s="569"/>
      <c r="AH1575" s="569"/>
      <c r="AI1575" s="569"/>
      <c r="AJ1575" s="569"/>
      <c r="AK1575" s="569"/>
      <c r="AL1575" s="569"/>
      <c r="AM1575" s="249"/>
    </row>
    <row r="1576" spans="2:39" s="231" customFormat="1">
      <c r="B1576" s="3"/>
      <c r="C1576" s="3"/>
      <c r="D1576" s="3"/>
      <c r="F1576" s="569"/>
      <c r="G1576" s="569"/>
      <c r="H1576" s="569"/>
      <c r="I1576" s="569"/>
      <c r="J1576" s="569"/>
      <c r="K1576" s="569"/>
      <c r="L1576" s="569"/>
      <c r="M1576" s="569"/>
      <c r="N1576" s="569"/>
      <c r="O1576" s="569"/>
      <c r="P1576" s="569"/>
      <c r="Q1576" s="569"/>
      <c r="R1576" s="569"/>
      <c r="S1576" s="569"/>
      <c r="T1576" s="569"/>
      <c r="U1576" s="569"/>
      <c r="V1576" s="569"/>
      <c r="W1576" s="569"/>
      <c r="X1576" s="569"/>
      <c r="Y1576" s="569"/>
      <c r="Z1576" s="569"/>
      <c r="AA1576" s="569"/>
      <c r="AB1576" s="569"/>
      <c r="AC1576" s="569"/>
      <c r="AD1576" s="569"/>
      <c r="AE1576" s="569"/>
      <c r="AF1576" s="569"/>
      <c r="AG1576" s="569"/>
      <c r="AH1576" s="569"/>
      <c r="AI1576" s="569"/>
      <c r="AJ1576" s="569"/>
      <c r="AK1576" s="569"/>
      <c r="AL1576" s="569"/>
      <c r="AM1576" s="249"/>
    </row>
    <row r="1577" spans="2:39" s="231" customFormat="1">
      <c r="B1577" s="3"/>
      <c r="C1577" s="3"/>
      <c r="D1577" s="3"/>
      <c r="F1577" s="569"/>
      <c r="G1577" s="569"/>
      <c r="H1577" s="569"/>
      <c r="I1577" s="569"/>
      <c r="J1577" s="569"/>
      <c r="K1577" s="569"/>
      <c r="L1577" s="569"/>
      <c r="M1577" s="569"/>
      <c r="N1577" s="569"/>
      <c r="O1577" s="569"/>
      <c r="P1577" s="569"/>
      <c r="Q1577" s="569"/>
      <c r="R1577" s="569"/>
      <c r="S1577" s="569"/>
      <c r="T1577" s="569"/>
      <c r="U1577" s="569"/>
      <c r="V1577" s="569"/>
      <c r="W1577" s="569"/>
      <c r="X1577" s="569"/>
      <c r="Y1577" s="569"/>
      <c r="Z1577" s="569"/>
      <c r="AA1577" s="569"/>
      <c r="AB1577" s="569"/>
      <c r="AC1577" s="569"/>
      <c r="AD1577" s="569"/>
      <c r="AE1577" s="569"/>
      <c r="AF1577" s="569"/>
      <c r="AG1577" s="569"/>
      <c r="AH1577" s="569"/>
      <c r="AI1577" s="569"/>
      <c r="AJ1577" s="569"/>
      <c r="AK1577" s="569"/>
      <c r="AL1577" s="569"/>
      <c r="AM1577" s="249"/>
    </row>
    <row r="1578" spans="2:39" s="231" customFormat="1">
      <c r="B1578" s="3"/>
      <c r="C1578" s="3"/>
      <c r="D1578" s="3"/>
      <c r="F1578" s="248"/>
      <c r="G1578" s="248"/>
      <c r="H1578" s="248"/>
      <c r="I1578" s="248"/>
      <c r="J1578" s="248"/>
      <c r="K1578" s="248"/>
      <c r="L1578" s="248"/>
      <c r="M1578" s="248"/>
      <c r="N1578" s="248"/>
      <c r="O1578" s="248"/>
      <c r="P1578" s="248"/>
      <c r="Q1578" s="248"/>
      <c r="R1578" s="248"/>
      <c r="S1578" s="248"/>
      <c r="T1578" s="248"/>
      <c r="U1578" s="248"/>
      <c r="V1578" s="248"/>
      <c r="W1578" s="248"/>
      <c r="X1578" s="248"/>
      <c r="Y1578" s="248"/>
      <c r="Z1578" s="248"/>
      <c r="AA1578" s="248"/>
      <c r="AB1578" s="248"/>
      <c r="AC1578" s="248"/>
      <c r="AD1578" s="248"/>
      <c r="AE1578" s="248"/>
      <c r="AF1578" s="248"/>
      <c r="AG1578" s="248"/>
      <c r="AH1578" s="248"/>
      <c r="AI1578" s="248"/>
      <c r="AJ1578" s="248"/>
      <c r="AK1578" s="248"/>
      <c r="AL1578" s="248"/>
      <c r="AM1578" s="248"/>
    </row>
    <row r="1579" spans="2:39" s="231" customFormat="1" ht="14.1" customHeight="1">
      <c r="B1579" s="46"/>
      <c r="C1579" s="46"/>
      <c r="D1579" s="44"/>
      <c r="F1579" s="569" t="s">
        <v>460</v>
      </c>
      <c r="G1579" s="569"/>
      <c r="H1579" s="569"/>
      <c r="I1579" s="569"/>
      <c r="J1579" s="569"/>
      <c r="K1579" s="569"/>
      <c r="L1579" s="569"/>
      <c r="M1579" s="569"/>
      <c r="N1579" s="569"/>
      <c r="O1579" s="569"/>
      <c r="P1579" s="569"/>
      <c r="Q1579" s="569"/>
      <c r="R1579" s="569"/>
      <c r="S1579" s="569"/>
      <c r="T1579" s="569"/>
      <c r="U1579" s="569"/>
      <c r="V1579" s="569"/>
      <c r="W1579" s="569"/>
      <c r="X1579" s="569"/>
      <c r="Y1579" s="569"/>
      <c r="Z1579" s="569"/>
      <c r="AA1579" s="569"/>
      <c r="AB1579" s="569"/>
      <c r="AC1579" s="569"/>
      <c r="AD1579" s="569"/>
      <c r="AE1579" s="569"/>
      <c r="AF1579" s="569"/>
      <c r="AG1579" s="569"/>
      <c r="AH1579" s="569"/>
      <c r="AI1579" s="569"/>
      <c r="AJ1579" s="569"/>
      <c r="AK1579" s="569"/>
      <c r="AL1579" s="569"/>
      <c r="AM1579" s="249"/>
    </row>
    <row r="1580" spans="2:39" s="231" customFormat="1">
      <c r="B1580" s="46"/>
      <c r="C1580" s="46"/>
      <c r="D1580" s="44"/>
      <c r="F1580" s="569"/>
      <c r="G1580" s="569"/>
      <c r="H1580" s="569"/>
      <c r="I1580" s="569"/>
      <c r="J1580" s="569"/>
      <c r="K1580" s="569"/>
      <c r="L1580" s="569"/>
      <c r="M1580" s="569"/>
      <c r="N1580" s="569"/>
      <c r="O1580" s="569"/>
      <c r="P1580" s="569"/>
      <c r="Q1580" s="569"/>
      <c r="R1580" s="569"/>
      <c r="S1580" s="569"/>
      <c r="T1580" s="569"/>
      <c r="U1580" s="569"/>
      <c r="V1580" s="569"/>
      <c r="W1580" s="569"/>
      <c r="X1580" s="569"/>
      <c r="Y1580" s="569"/>
      <c r="Z1580" s="569"/>
      <c r="AA1580" s="569"/>
      <c r="AB1580" s="569"/>
      <c r="AC1580" s="569"/>
      <c r="AD1580" s="569"/>
      <c r="AE1580" s="569"/>
      <c r="AF1580" s="569"/>
      <c r="AG1580" s="569"/>
      <c r="AH1580" s="569"/>
      <c r="AI1580" s="569"/>
      <c r="AJ1580" s="569"/>
      <c r="AK1580" s="569"/>
      <c r="AL1580" s="569"/>
      <c r="AM1580" s="249"/>
    </row>
    <row r="1581" spans="2:39" s="231" customFormat="1">
      <c r="B1581" s="46"/>
      <c r="C1581" s="46"/>
      <c r="D1581" s="44"/>
      <c r="F1581" s="569"/>
      <c r="G1581" s="569"/>
      <c r="H1581" s="569"/>
      <c r="I1581" s="569"/>
      <c r="J1581" s="569"/>
      <c r="K1581" s="569"/>
      <c r="L1581" s="569"/>
      <c r="M1581" s="569"/>
      <c r="N1581" s="569"/>
      <c r="O1581" s="569"/>
      <c r="P1581" s="569"/>
      <c r="Q1581" s="569"/>
      <c r="R1581" s="569"/>
      <c r="S1581" s="569"/>
      <c r="T1581" s="569"/>
      <c r="U1581" s="569"/>
      <c r="V1581" s="569"/>
      <c r="W1581" s="569"/>
      <c r="X1581" s="569"/>
      <c r="Y1581" s="569"/>
      <c r="Z1581" s="569"/>
      <c r="AA1581" s="569"/>
      <c r="AB1581" s="569"/>
      <c r="AC1581" s="569"/>
      <c r="AD1581" s="569"/>
      <c r="AE1581" s="569"/>
      <c r="AF1581" s="569"/>
      <c r="AG1581" s="569"/>
      <c r="AH1581" s="569"/>
      <c r="AI1581" s="569"/>
      <c r="AJ1581" s="569"/>
      <c r="AK1581" s="569"/>
      <c r="AL1581" s="569"/>
      <c r="AM1581" s="249"/>
    </row>
    <row r="1582" spans="2:39" s="231" customFormat="1">
      <c r="B1582" s="46"/>
      <c r="C1582" s="46"/>
      <c r="D1582" s="44"/>
      <c r="F1582" s="329"/>
      <c r="G1582" s="329"/>
      <c r="H1582" s="329"/>
      <c r="I1582" s="329"/>
      <c r="J1582" s="329"/>
      <c r="K1582" s="329"/>
      <c r="L1582" s="329"/>
      <c r="M1582" s="329"/>
      <c r="N1582" s="329"/>
      <c r="O1582" s="329"/>
      <c r="P1582" s="329"/>
      <c r="Q1582" s="329"/>
      <c r="R1582" s="329"/>
      <c r="S1582" s="329"/>
      <c r="T1582" s="329"/>
      <c r="U1582" s="329"/>
      <c r="V1582" s="329"/>
      <c r="W1582" s="329"/>
      <c r="X1582" s="329"/>
      <c r="Y1582" s="329"/>
      <c r="Z1582" s="329"/>
      <c r="AA1582" s="329"/>
      <c r="AB1582" s="329"/>
      <c r="AC1582" s="329"/>
      <c r="AD1582" s="329"/>
      <c r="AE1582" s="329"/>
      <c r="AF1582" s="329"/>
      <c r="AG1582" s="329"/>
      <c r="AH1582" s="329"/>
      <c r="AI1582" s="329"/>
      <c r="AJ1582" s="329"/>
      <c r="AK1582" s="329"/>
      <c r="AL1582" s="329"/>
      <c r="AM1582" s="329"/>
    </row>
    <row r="1583" spans="2:39" s="231" customFormat="1">
      <c r="B1583" s="46"/>
      <c r="C1583" s="46"/>
      <c r="D1583" s="44"/>
      <c r="F1583" s="329"/>
      <c r="G1583" s="329"/>
      <c r="H1583" s="329"/>
      <c r="I1583" s="329"/>
      <c r="J1583" s="329"/>
      <c r="K1583" s="329"/>
      <c r="L1583" s="329"/>
      <c r="M1583" s="329"/>
      <c r="N1583" s="329"/>
      <c r="O1583" s="329"/>
      <c r="P1583" s="329"/>
      <c r="Q1583" s="329"/>
      <c r="R1583" s="329"/>
      <c r="S1583" s="329"/>
      <c r="T1583" s="329"/>
      <c r="U1583" s="329"/>
      <c r="V1583" s="329"/>
      <c r="W1583" s="329"/>
      <c r="X1583" s="329"/>
      <c r="Y1583" s="329"/>
      <c r="Z1583" s="255"/>
      <c r="AA1583" s="596" t="str">
        <f>AA211</f>
        <v>31 грудня 2020  року</v>
      </c>
      <c r="AB1583" s="596"/>
      <c r="AC1583" s="596"/>
      <c r="AD1583" s="596"/>
      <c r="AE1583" s="596"/>
      <c r="AF1583" s="329"/>
      <c r="AG1583" s="596" t="str">
        <f>AG211</f>
        <v>31 грудня 2019 року</v>
      </c>
      <c r="AH1583" s="596"/>
      <c r="AI1583" s="596"/>
      <c r="AJ1583" s="596"/>
      <c r="AK1583" s="596"/>
      <c r="AM1583" s="256"/>
    </row>
    <row r="1584" spans="2:39" s="231" customFormat="1">
      <c r="B1584" s="46"/>
      <c r="C1584" s="46"/>
      <c r="D1584" s="44"/>
      <c r="F1584" s="329"/>
      <c r="G1584" s="329"/>
      <c r="H1584" s="329"/>
      <c r="I1584" s="329"/>
      <c r="J1584" s="329"/>
      <c r="K1584" s="329"/>
      <c r="L1584" s="329"/>
      <c r="M1584" s="329"/>
      <c r="N1584" s="329"/>
      <c r="O1584" s="329"/>
      <c r="P1584" s="329"/>
      <c r="Q1584" s="329"/>
      <c r="R1584" s="329"/>
      <c r="S1584" s="329"/>
      <c r="T1584" s="329"/>
      <c r="U1584" s="329"/>
      <c r="V1584" s="329"/>
      <c r="W1584" s="329"/>
      <c r="X1584" s="329"/>
      <c r="Y1584" s="329"/>
      <c r="Z1584" s="255"/>
      <c r="AA1584" s="597"/>
      <c r="AB1584" s="597"/>
      <c r="AC1584" s="597"/>
      <c r="AD1584" s="597"/>
      <c r="AE1584" s="597"/>
      <c r="AF1584" s="329"/>
      <c r="AG1584" s="597"/>
      <c r="AH1584" s="597"/>
      <c r="AI1584" s="597"/>
      <c r="AJ1584" s="597"/>
      <c r="AK1584" s="597"/>
      <c r="AM1584" s="256"/>
    </row>
    <row r="1585" spans="2:39" s="231" customFormat="1">
      <c r="B1585" s="46"/>
      <c r="C1585" s="46"/>
      <c r="D1585" s="44"/>
      <c r="F1585" s="738" t="s">
        <v>454</v>
      </c>
      <c r="G1585" s="738"/>
      <c r="H1585" s="738"/>
      <c r="I1585" s="738"/>
      <c r="J1585" s="738"/>
      <c r="K1585" s="738"/>
      <c r="L1585" s="738"/>
      <c r="M1585" s="738"/>
      <c r="N1585" s="738"/>
      <c r="O1585" s="738"/>
      <c r="P1585" s="738"/>
      <c r="Q1585" s="738"/>
      <c r="R1585" s="738"/>
      <c r="S1585" s="738"/>
      <c r="T1585" s="738"/>
      <c r="U1585" s="738"/>
      <c r="V1585" s="738"/>
      <c r="W1585" s="738"/>
      <c r="X1585" s="329"/>
      <c r="Y1585" s="329"/>
      <c r="Z1585" s="255"/>
      <c r="AA1585" s="741"/>
      <c r="AB1585" s="741"/>
      <c r="AC1585" s="741"/>
      <c r="AD1585" s="741"/>
      <c r="AE1585" s="741"/>
      <c r="AF1585" s="338"/>
      <c r="AG1585" s="741"/>
      <c r="AH1585" s="741"/>
      <c r="AI1585" s="741"/>
      <c r="AJ1585" s="741"/>
      <c r="AK1585" s="741"/>
      <c r="AL1585" s="266"/>
      <c r="AM1585" s="344"/>
    </row>
    <row r="1586" spans="2:39" s="231" customFormat="1">
      <c r="B1586" s="46"/>
      <c r="C1586" s="46"/>
      <c r="D1586" s="44"/>
      <c r="F1586" s="738" t="str">
        <f>F1550</f>
        <v>Грошові кошти та їх еквіваленти</v>
      </c>
      <c r="G1586" s="738"/>
      <c r="H1586" s="738"/>
      <c r="I1586" s="738"/>
      <c r="J1586" s="738"/>
      <c r="K1586" s="738"/>
      <c r="L1586" s="738"/>
      <c r="M1586" s="738"/>
      <c r="N1586" s="738"/>
      <c r="O1586" s="738"/>
      <c r="P1586" s="738"/>
      <c r="Q1586" s="738"/>
      <c r="R1586" s="738"/>
      <c r="S1586" s="738"/>
      <c r="T1586" s="738"/>
      <c r="U1586" s="738"/>
      <c r="V1586" s="738"/>
      <c r="W1586" s="738"/>
      <c r="X1586" s="329"/>
      <c r="Y1586" s="329"/>
      <c r="Z1586" s="255"/>
      <c r="AA1586" s="740">
        <v>170</v>
      </c>
      <c r="AB1586" s="740"/>
      <c r="AC1586" s="740"/>
      <c r="AD1586" s="740"/>
      <c r="AE1586" s="740"/>
      <c r="AF1586" s="338"/>
      <c r="AG1586" s="740">
        <v>137</v>
      </c>
      <c r="AH1586" s="740"/>
      <c r="AI1586" s="740"/>
      <c r="AJ1586" s="740"/>
      <c r="AK1586" s="740"/>
      <c r="AL1586" s="266"/>
      <c r="AM1586" s="344"/>
    </row>
    <row r="1587" spans="2:39" s="231" customFormat="1" ht="13.5" thickBot="1">
      <c r="B1587" s="46"/>
      <c r="C1587" s="46"/>
      <c r="D1587" s="44"/>
      <c r="F1587" s="739" t="s">
        <v>461</v>
      </c>
      <c r="G1587" s="739"/>
      <c r="H1587" s="739"/>
      <c r="I1587" s="739"/>
      <c r="J1587" s="739"/>
      <c r="K1587" s="739"/>
      <c r="L1587" s="739"/>
      <c r="M1587" s="739"/>
      <c r="N1587" s="739"/>
      <c r="O1587" s="739"/>
      <c r="P1587" s="739"/>
      <c r="Q1587" s="739"/>
      <c r="R1587" s="739"/>
      <c r="S1587" s="739"/>
      <c r="T1587" s="739"/>
      <c r="U1587" s="739"/>
      <c r="V1587" s="739"/>
      <c r="W1587" s="739"/>
      <c r="X1587" s="329"/>
      <c r="Y1587" s="329"/>
      <c r="Z1587" s="255"/>
      <c r="AA1587" s="677">
        <f>SUBTOTAL(9,AA1585:AE1586)</f>
        <v>170</v>
      </c>
      <c r="AB1587" s="677"/>
      <c r="AC1587" s="677"/>
      <c r="AD1587" s="677"/>
      <c r="AE1587" s="677"/>
      <c r="AF1587" s="338"/>
      <c r="AG1587" s="677">
        <f>SUBTOTAL(9,AG1585:AK1586)</f>
        <v>137</v>
      </c>
      <c r="AH1587" s="677"/>
      <c r="AI1587" s="677"/>
      <c r="AJ1587" s="677"/>
      <c r="AK1587" s="677"/>
      <c r="AL1587" s="266"/>
      <c r="AM1587" s="295"/>
    </row>
    <row r="1588" spans="2:39" s="231" customFormat="1" ht="13.5" thickTop="1">
      <c r="B1588" s="3"/>
      <c r="C1588" s="3"/>
      <c r="D1588" s="14"/>
      <c r="F1588" s="339"/>
      <c r="G1588" s="339"/>
      <c r="H1588" s="339"/>
      <c r="I1588" s="339"/>
      <c r="J1588" s="339"/>
      <c r="K1588" s="339"/>
      <c r="L1588" s="339"/>
      <c r="M1588" s="339"/>
      <c r="N1588" s="339"/>
      <c r="O1588" s="339"/>
      <c r="P1588" s="339"/>
      <c r="Q1588" s="339"/>
      <c r="R1588" s="339"/>
      <c r="S1588" s="339"/>
      <c r="T1588" s="339"/>
      <c r="U1588" s="339"/>
      <c r="V1588" s="339"/>
      <c r="W1588" s="339"/>
      <c r="X1588" s="329"/>
      <c r="Y1588" s="329"/>
      <c r="Z1588" s="329"/>
      <c r="AA1588" s="329"/>
      <c r="AB1588" s="329"/>
      <c r="AC1588" s="329"/>
      <c r="AD1588" s="329"/>
      <c r="AE1588" s="329"/>
      <c r="AF1588" s="329"/>
      <c r="AG1588" s="313"/>
      <c r="AH1588" s="313"/>
      <c r="AI1588" s="313"/>
      <c r="AJ1588" s="313"/>
      <c r="AK1588" s="313"/>
      <c r="AM1588" s="313"/>
    </row>
    <row r="1589" spans="2:39" s="231" customFormat="1">
      <c r="B1589" s="3"/>
      <c r="C1589" s="2"/>
      <c r="D1589" s="1"/>
      <c r="F1589" s="324"/>
      <c r="G1589" s="324"/>
      <c r="H1589" s="324"/>
      <c r="I1589" s="324"/>
      <c r="J1589" s="324"/>
      <c r="K1589" s="324"/>
      <c r="L1589" s="324"/>
      <c r="M1589" s="324"/>
      <c r="N1589" s="324"/>
      <c r="O1589" s="324"/>
      <c r="P1589" s="324"/>
      <c r="Q1589" s="324"/>
      <c r="R1589" s="324"/>
      <c r="S1589" s="324"/>
      <c r="T1589" s="324"/>
      <c r="U1589" s="324"/>
      <c r="V1589" s="324"/>
      <c r="W1589" s="324"/>
      <c r="X1589" s="324"/>
      <c r="Y1589" s="324"/>
      <c r="Z1589" s="324"/>
      <c r="AA1589" s="324"/>
      <c r="AB1589" s="324"/>
      <c r="AC1589" s="324"/>
      <c r="AD1589" s="324"/>
      <c r="AE1589" s="324"/>
      <c r="AF1589" s="324"/>
      <c r="AG1589" s="324"/>
      <c r="AH1589" s="324"/>
      <c r="AI1589" s="324"/>
      <c r="AJ1589" s="324"/>
      <c r="AK1589" s="324"/>
      <c r="AL1589" s="324"/>
      <c r="AM1589" s="324"/>
    </row>
    <row r="1590" spans="2:39" s="231" customFormat="1">
      <c r="B1590" s="3"/>
      <c r="C1590" s="2"/>
      <c r="D1590" s="1"/>
      <c r="F1590" s="669" t="str">
        <f>(MID(F1490,1,2)+1)&amp;"."</f>
        <v>21.</v>
      </c>
      <c r="G1590" s="669"/>
      <c r="H1590" s="583" t="s">
        <v>462</v>
      </c>
      <c r="I1590" s="583"/>
      <c r="J1590" s="583"/>
      <c r="K1590" s="583"/>
      <c r="L1590" s="583"/>
      <c r="M1590" s="583"/>
      <c r="N1590" s="583"/>
      <c r="O1590" s="583"/>
      <c r="P1590" s="583"/>
      <c r="Q1590" s="583"/>
      <c r="R1590" s="583"/>
      <c r="S1590" s="583"/>
      <c r="T1590" s="583"/>
      <c r="U1590" s="583"/>
      <c r="V1590" s="583"/>
      <c r="W1590" s="583"/>
      <c r="X1590" s="583"/>
      <c r="Y1590" s="583"/>
      <c r="Z1590" s="583"/>
      <c r="AA1590" s="583"/>
      <c r="AB1590" s="583"/>
      <c r="AC1590" s="583"/>
      <c r="AD1590" s="583"/>
      <c r="AE1590" s="583"/>
      <c r="AF1590" s="583"/>
      <c r="AG1590" s="583"/>
      <c r="AH1590" s="583"/>
      <c r="AI1590" s="583"/>
      <c r="AJ1590" s="583"/>
      <c r="AK1590" s="583"/>
      <c r="AL1590" s="583"/>
      <c r="AM1590" s="583"/>
    </row>
    <row r="1591" spans="2:39" s="231" customFormat="1">
      <c r="B1591" s="3"/>
      <c r="C1591" s="2"/>
      <c r="D1591" s="1"/>
    </row>
    <row r="1592" spans="2:39" s="231" customFormat="1" ht="14.1" customHeight="1">
      <c r="B1592" s="3"/>
      <c r="C1592" s="2"/>
      <c r="D1592" s="1"/>
      <c r="F1592" s="569" t="s">
        <v>1465</v>
      </c>
      <c r="G1592" s="569"/>
      <c r="H1592" s="569"/>
      <c r="I1592" s="569"/>
      <c r="J1592" s="569"/>
      <c r="K1592" s="569"/>
      <c r="L1592" s="569"/>
      <c r="M1592" s="569"/>
      <c r="N1592" s="569"/>
      <c r="O1592" s="569"/>
      <c r="P1592" s="569"/>
      <c r="Q1592" s="569"/>
      <c r="R1592" s="569"/>
      <c r="S1592" s="569"/>
      <c r="T1592" s="569"/>
      <c r="U1592" s="569"/>
      <c r="V1592" s="569"/>
      <c r="W1592" s="569"/>
      <c r="X1592" s="569"/>
      <c r="Y1592" s="569"/>
      <c r="Z1592" s="569"/>
      <c r="AA1592" s="569"/>
      <c r="AB1592" s="569"/>
      <c r="AC1592" s="569"/>
      <c r="AD1592" s="569"/>
      <c r="AE1592" s="569"/>
      <c r="AF1592" s="569"/>
      <c r="AG1592" s="569"/>
      <c r="AH1592" s="569"/>
      <c r="AI1592" s="569"/>
      <c r="AJ1592" s="569"/>
      <c r="AK1592" s="569"/>
      <c r="AL1592" s="569"/>
      <c r="AM1592" s="249"/>
    </row>
    <row r="1593" spans="2:39" s="231" customFormat="1">
      <c r="B1593" s="3"/>
      <c r="C1593" s="2"/>
      <c r="D1593" s="1"/>
      <c r="F1593" s="569"/>
      <c r="G1593" s="569"/>
      <c r="H1593" s="569"/>
      <c r="I1593" s="569"/>
      <c r="J1593" s="569"/>
      <c r="K1593" s="569"/>
      <c r="L1593" s="569"/>
      <c r="M1593" s="569"/>
      <c r="N1593" s="569"/>
      <c r="O1593" s="569"/>
      <c r="P1593" s="569"/>
      <c r="Q1593" s="569"/>
      <c r="R1593" s="569"/>
      <c r="S1593" s="569"/>
      <c r="T1593" s="569"/>
      <c r="U1593" s="569"/>
      <c r="V1593" s="569"/>
      <c r="W1593" s="569"/>
      <c r="X1593" s="569"/>
      <c r="Y1593" s="569"/>
      <c r="Z1593" s="569"/>
      <c r="AA1593" s="569"/>
      <c r="AB1593" s="569"/>
      <c r="AC1593" s="569"/>
      <c r="AD1593" s="569"/>
      <c r="AE1593" s="569"/>
      <c r="AF1593" s="569"/>
      <c r="AG1593" s="569"/>
      <c r="AH1593" s="569"/>
      <c r="AI1593" s="569"/>
      <c r="AJ1593" s="569"/>
      <c r="AK1593" s="569"/>
      <c r="AL1593" s="569"/>
      <c r="AM1593" s="249"/>
    </row>
    <row r="1594" spans="2:39" s="231" customFormat="1">
      <c r="B1594" s="3"/>
      <c r="C1594" s="2"/>
      <c r="D1594" s="1"/>
      <c r="F1594" s="569"/>
      <c r="G1594" s="569"/>
      <c r="H1594" s="569"/>
      <c r="I1594" s="569"/>
      <c r="J1594" s="569"/>
      <c r="K1594" s="569"/>
      <c r="L1594" s="569"/>
      <c r="M1594" s="569"/>
      <c r="N1594" s="569"/>
      <c r="O1594" s="569"/>
      <c r="P1594" s="569"/>
      <c r="Q1594" s="569"/>
      <c r="R1594" s="569"/>
      <c r="S1594" s="569"/>
      <c r="T1594" s="569"/>
      <c r="U1594" s="569"/>
      <c r="V1594" s="569"/>
      <c r="W1594" s="569"/>
      <c r="X1594" s="569"/>
      <c r="Y1594" s="569"/>
      <c r="Z1594" s="569"/>
      <c r="AA1594" s="569"/>
      <c r="AB1594" s="569"/>
      <c r="AC1594" s="569"/>
      <c r="AD1594" s="569"/>
      <c r="AE1594" s="569"/>
      <c r="AF1594" s="569"/>
      <c r="AG1594" s="569"/>
      <c r="AH1594" s="569"/>
      <c r="AI1594" s="569"/>
      <c r="AJ1594" s="569"/>
      <c r="AK1594" s="569"/>
      <c r="AL1594" s="569"/>
      <c r="AM1594" s="249"/>
    </row>
    <row r="1595" spans="2:39" s="231" customFormat="1">
      <c r="B1595" s="3"/>
      <c r="C1595" s="2"/>
      <c r="D1595" s="1"/>
      <c r="F1595" s="569"/>
      <c r="G1595" s="569"/>
      <c r="H1595" s="569"/>
      <c r="I1595" s="569"/>
      <c r="J1595" s="569"/>
      <c r="K1595" s="569"/>
      <c r="L1595" s="569"/>
      <c r="M1595" s="569"/>
      <c r="N1595" s="569"/>
      <c r="O1595" s="569"/>
      <c r="P1595" s="569"/>
      <c r="Q1595" s="569"/>
      <c r="R1595" s="569"/>
      <c r="S1595" s="569"/>
      <c r="T1595" s="569"/>
      <c r="U1595" s="569"/>
      <c r="V1595" s="569"/>
      <c r="W1595" s="569"/>
      <c r="X1595" s="569"/>
      <c r="Y1595" s="569"/>
      <c r="Z1595" s="569"/>
      <c r="AA1595" s="569"/>
      <c r="AB1595" s="569"/>
      <c r="AC1595" s="569"/>
      <c r="AD1595" s="569"/>
      <c r="AE1595" s="569"/>
      <c r="AF1595" s="569"/>
      <c r="AG1595" s="569"/>
      <c r="AH1595" s="569"/>
      <c r="AI1595" s="569"/>
      <c r="AJ1595" s="569"/>
      <c r="AK1595" s="569"/>
      <c r="AL1595" s="569"/>
      <c r="AM1595" s="249"/>
    </row>
    <row r="1596" spans="2:39" s="231" customFormat="1">
      <c r="B1596" s="3"/>
      <c r="C1596" s="2"/>
      <c r="D1596" s="1"/>
      <c r="F1596" s="569"/>
      <c r="G1596" s="569"/>
      <c r="H1596" s="569"/>
      <c r="I1596" s="569"/>
      <c r="J1596" s="569"/>
      <c r="K1596" s="569"/>
      <c r="L1596" s="569"/>
      <c r="M1596" s="569"/>
      <c r="N1596" s="569"/>
      <c r="O1596" s="569"/>
      <c r="P1596" s="569"/>
      <c r="Q1596" s="569"/>
      <c r="R1596" s="569"/>
      <c r="S1596" s="569"/>
      <c r="T1596" s="569"/>
      <c r="U1596" s="569"/>
      <c r="V1596" s="569"/>
      <c r="W1596" s="569"/>
      <c r="X1596" s="569"/>
      <c r="Y1596" s="569"/>
      <c r="Z1596" s="569"/>
      <c r="AA1596" s="569"/>
      <c r="AB1596" s="569"/>
      <c r="AC1596" s="569"/>
      <c r="AD1596" s="569"/>
      <c r="AE1596" s="569"/>
      <c r="AF1596" s="569"/>
      <c r="AG1596" s="569"/>
      <c r="AH1596" s="569"/>
      <c r="AI1596" s="569"/>
      <c r="AJ1596" s="569"/>
      <c r="AK1596" s="569"/>
      <c r="AL1596" s="569"/>
      <c r="AM1596" s="249"/>
    </row>
    <row r="1597" spans="2:39" s="231" customFormat="1">
      <c r="B1597" s="3"/>
      <c r="C1597" s="2"/>
      <c r="D1597" s="1"/>
      <c r="F1597" s="569"/>
      <c r="G1597" s="569"/>
      <c r="H1597" s="569"/>
      <c r="I1597" s="569"/>
      <c r="J1597" s="569"/>
      <c r="K1597" s="569"/>
      <c r="L1597" s="569"/>
      <c r="M1597" s="569"/>
      <c r="N1597" s="569"/>
      <c r="O1597" s="569"/>
      <c r="P1597" s="569"/>
      <c r="Q1597" s="569"/>
      <c r="R1597" s="569"/>
      <c r="S1597" s="569"/>
      <c r="T1597" s="569"/>
      <c r="U1597" s="569"/>
      <c r="V1597" s="569"/>
      <c r="W1597" s="569"/>
      <c r="X1597" s="569"/>
      <c r="Y1597" s="569"/>
      <c r="Z1597" s="569"/>
      <c r="AA1597" s="569"/>
      <c r="AB1597" s="569"/>
      <c r="AC1597" s="569"/>
      <c r="AD1597" s="569"/>
      <c r="AE1597" s="569"/>
      <c r="AF1597" s="569"/>
      <c r="AG1597" s="569"/>
      <c r="AH1597" s="569"/>
      <c r="AI1597" s="569"/>
      <c r="AJ1597" s="569"/>
      <c r="AK1597" s="569"/>
      <c r="AL1597" s="569"/>
      <c r="AM1597" s="249"/>
    </row>
    <row r="1598" spans="2:39" s="231" customFormat="1" ht="93" customHeight="1">
      <c r="B1598" s="3"/>
      <c r="C1598" s="2"/>
      <c r="D1598" s="1"/>
      <c r="F1598" s="569"/>
      <c r="G1598" s="569"/>
      <c r="H1598" s="569"/>
      <c r="I1598" s="569"/>
      <c r="J1598" s="569"/>
      <c r="K1598" s="569"/>
      <c r="L1598" s="569"/>
      <c r="M1598" s="569"/>
      <c r="N1598" s="569"/>
      <c r="O1598" s="569"/>
      <c r="P1598" s="569"/>
      <c r="Q1598" s="569"/>
      <c r="R1598" s="569"/>
      <c r="S1598" s="569"/>
      <c r="T1598" s="569"/>
      <c r="U1598" s="569"/>
      <c r="V1598" s="569"/>
      <c r="W1598" s="569"/>
      <c r="X1598" s="569"/>
      <c r="Y1598" s="569"/>
      <c r="Z1598" s="569"/>
      <c r="AA1598" s="569"/>
      <c r="AB1598" s="569"/>
      <c r="AC1598" s="569"/>
      <c r="AD1598" s="569"/>
      <c r="AE1598" s="569"/>
      <c r="AF1598" s="569"/>
      <c r="AG1598" s="569"/>
      <c r="AH1598" s="569"/>
      <c r="AI1598" s="569"/>
      <c r="AJ1598" s="569"/>
      <c r="AK1598" s="569"/>
      <c r="AL1598" s="569"/>
      <c r="AM1598" s="249"/>
    </row>
    <row r="1599" spans="2:39" s="231" customFormat="1" ht="93" customHeight="1">
      <c r="B1599" s="3"/>
      <c r="C1599" s="2"/>
      <c r="D1599" s="1"/>
      <c r="F1599" s="569"/>
      <c r="G1599" s="569"/>
      <c r="H1599" s="569"/>
      <c r="I1599" s="569"/>
      <c r="J1599" s="569"/>
      <c r="K1599" s="569"/>
      <c r="L1599" s="569"/>
      <c r="M1599" s="569"/>
      <c r="N1599" s="569"/>
      <c r="O1599" s="569"/>
      <c r="P1599" s="569"/>
      <c r="Q1599" s="569"/>
      <c r="R1599" s="569"/>
      <c r="S1599" s="569"/>
      <c r="T1599" s="569"/>
      <c r="U1599" s="569"/>
      <c r="V1599" s="569"/>
      <c r="W1599" s="569"/>
      <c r="X1599" s="569"/>
      <c r="Y1599" s="569"/>
      <c r="Z1599" s="569"/>
      <c r="AA1599" s="569"/>
      <c r="AB1599" s="569"/>
      <c r="AC1599" s="569"/>
      <c r="AD1599" s="569"/>
      <c r="AE1599" s="569"/>
      <c r="AF1599" s="569"/>
      <c r="AG1599" s="569"/>
      <c r="AH1599" s="569"/>
      <c r="AI1599" s="569"/>
      <c r="AJ1599" s="569"/>
      <c r="AK1599" s="569"/>
      <c r="AL1599" s="569"/>
      <c r="AM1599" s="248"/>
    </row>
    <row r="1600" spans="2:39" s="361" customFormat="1" ht="8.25" customHeight="1">
      <c r="C1600" s="2"/>
      <c r="D1600" s="1"/>
      <c r="F1600" s="354"/>
      <c r="G1600" s="354"/>
      <c r="H1600" s="354"/>
      <c r="I1600" s="354"/>
      <c r="J1600" s="354"/>
      <c r="K1600" s="354"/>
      <c r="L1600" s="354"/>
      <c r="M1600" s="354"/>
      <c r="N1600" s="354"/>
      <c r="O1600" s="354"/>
      <c r="P1600" s="354"/>
      <c r="Q1600" s="354"/>
      <c r="R1600" s="354"/>
      <c r="S1600" s="354"/>
      <c r="T1600" s="354"/>
      <c r="U1600" s="354"/>
      <c r="V1600" s="354"/>
      <c r="W1600" s="354"/>
      <c r="X1600" s="354"/>
      <c r="Y1600" s="354"/>
      <c r="Z1600" s="354"/>
      <c r="AA1600" s="354"/>
      <c r="AB1600" s="354"/>
      <c r="AC1600" s="354"/>
      <c r="AD1600" s="354"/>
      <c r="AE1600" s="354"/>
      <c r="AF1600" s="354"/>
      <c r="AG1600" s="354"/>
      <c r="AH1600" s="354"/>
      <c r="AI1600" s="354"/>
      <c r="AJ1600" s="354"/>
      <c r="AK1600" s="354"/>
      <c r="AL1600" s="354"/>
      <c r="AM1600" s="363"/>
    </row>
    <row r="1601" spans="1:39" s="231" customFormat="1" ht="16.5" customHeight="1">
      <c r="B1601" s="3"/>
      <c r="C1601" s="2"/>
      <c r="D1601" s="1"/>
      <c r="F1601" s="669" t="str">
        <f>(MID(F1590,1,2)+1)&amp;"."</f>
        <v>22.</v>
      </c>
      <c r="G1601" s="669"/>
      <c r="H1601" s="268" t="s">
        <v>463</v>
      </c>
      <c r="I1601" s="268"/>
      <c r="J1601" s="268"/>
      <c r="K1601" s="268"/>
      <c r="L1601" s="268"/>
      <c r="M1601" s="268"/>
      <c r="N1601" s="268"/>
      <c r="O1601" s="268"/>
      <c r="P1601" s="268"/>
      <c r="Q1601" s="268"/>
      <c r="R1601" s="268"/>
      <c r="S1601" s="268"/>
      <c r="T1601" s="268"/>
      <c r="U1601" s="268"/>
      <c r="V1601" s="268"/>
      <c r="W1601" s="268"/>
      <c r="X1601" s="268"/>
      <c r="Y1601" s="268"/>
      <c r="Z1601" s="268"/>
      <c r="AA1601" s="268"/>
      <c r="AB1601" s="268"/>
      <c r="AC1601" s="268"/>
      <c r="AD1601" s="268"/>
      <c r="AE1601" s="268"/>
      <c r="AF1601" s="268"/>
      <c r="AG1601" s="268"/>
      <c r="AH1601" s="268"/>
      <c r="AI1601" s="268"/>
      <c r="AJ1601" s="268"/>
      <c r="AK1601" s="268"/>
      <c r="AL1601" s="268"/>
      <c r="AM1601" s="268"/>
    </row>
    <row r="1602" spans="1:39" s="231" customFormat="1" ht="10.5" customHeight="1">
      <c r="B1602" s="3"/>
      <c r="C1602" s="2"/>
      <c r="D1602" s="1"/>
    </row>
    <row r="1603" spans="1:39" s="231" customFormat="1" ht="14.1" customHeight="1">
      <c r="B1603" s="3"/>
      <c r="C1603" s="3"/>
      <c r="D1603" s="3"/>
      <c r="E1603" s="242"/>
      <c r="F1603" s="569" t="s">
        <v>1659</v>
      </c>
      <c r="G1603" s="570"/>
      <c r="H1603" s="570"/>
      <c r="I1603" s="570"/>
      <c r="J1603" s="570"/>
      <c r="K1603" s="570"/>
      <c r="L1603" s="570"/>
      <c r="M1603" s="570"/>
      <c r="N1603" s="570"/>
      <c r="O1603" s="570"/>
      <c r="P1603" s="570"/>
      <c r="Q1603" s="570"/>
      <c r="R1603" s="570"/>
      <c r="S1603" s="570"/>
      <c r="T1603" s="570"/>
      <c r="U1603" s="570"/>
      <c r="V1603" s="570"/>
      <c r="W1603" s="570"/>
      <c r="X1603" s="570"/>
      <c r="Y1603" s="570"/>
      <c r="Z1603" s="570"/>
      <c r="AA1603" s="570"/>
      <c r="AB1603" s="570"/>
      <c r="AC1603" s="570"/>
      <c r="AD1603" s="570"/>
      <c r="AE1603" s="570"/>
      <c r="AF1603" s="570"/>
      <c r="AG1603" s="570"/>
      <c r="AH1603" s="570"/>
      <c r="AI1603" s="570"/>
      <c r="AJ1603" s="570"/>
      <c r="AK1603" s="570"/>
      <c r="AL1603" s="273"/>
      <c r="AM1603" s="273"/>
    </row>
    <row r="1604" spans="1:39" s="231" customFormat="1">
      <c r="B1604" s="3"/>
      <c r="C1604" s="3"/>
      <c r="D1604" s="3"/>
      <c r="E1604" s="242"/>
      <c r="F1604" s="570"/>
      <c r="G1604" s="570"/>
      <c r="H1604" s="570"/>
      <c r="I1604" s="570"/>
      <c r="J1604" s="570"/>
      <c r="K1604" s="570"/>
      <c r="L1604" s="570"/>
      <c r="M1604" s="570"/>
      <c r="N1604" s="570"/>
      <c r="O1604" s="570"/>
      <c r="P1604" s="570"/>
      <c r="Q1604" s="570"/>
      <c r="R1604" s="570"/>
      <c r="S1604" s="570"/>
      <c r="T1604" s="570"/>
      <c r="U1604" s="570"/>
      <c r="V1604" s="570"/>
      <c r="W1604" s="570"/>
      <c r="X1604" s="570"/>
      <c r="Y1604" s="570"/>
      <c r="Z1604" s="570"/>
      <c r="AA1604" s="570"/>
      <c r="AB1604" s="570"/>
      <c r="AC1604" s="570"/>
      <c r="AD1604" s="570"/>
      <c r="AE1604" s="570"/>
      <c r="AF1604" s="570"/>
      <c r="AG1604" s="570"/>
      <c r="AH1604" s="570"/>
      <c r="AI1604" s="570"/>
      <c r="AJ1604" s="570"/>
      <c r="AK1604" s="570"/>
      <c r="AL1604" s="273"/>
      <c r="AM1604" s="273"/>
    </row>
    <row r="1605" spans="1:39" s="231" customFormat="1">
      <c r="B1605" s="3"/>
      <c r="C1605" s="3"/>
      <c r="D1605" s="3"/>
      <c r="E1605" s="242"/>
      <c r="F1605" s="570"/>
      <c r="G1605" s="570"/>
      <c r="H1605" s="570"/>
      <c r="I1605" s="570"/>
      <c r="J1605" s="570"/>
      <c r="K1605" s="570"/>
      <c r="L1605" s="570"/>
      <c r="M1605" s="570"/>
      <c r="N1605" s="570"/>
      <c r="O1605" s="570"/>
      <c r="P1605" s="570"/>
      <c r="Q1605" s="570"/>
      <c r="R1605" s="570"/>
      <c r="S1605" s="570"/>
      <c r="T1605" s="570"/>
      <c r="U1605" s="570"/>
      <c r="V1605" s="570"/>
      <c r="W1605" s="570"/>
      <c r="X1605" s="570"/>
      <c r="Y1605" s="570"/>
      <c r="Z1605" s="570"/>
      <c r="AA1605" s="570"/>
      <c r="AB1605" s="570"/>
      <c r="AC1605" s="570"/>
      <c r="AD1605" s="570"/>
      <c r="AE1605" s="570"/>
      <c r="AF1605" s="570"/>
      <c r="AG1605" s="570"/>
      <c r="AH1605" s="570"/>
      <c r="AI1605" s="570"/>
      <c r="AJ1605" s="570"/>
      <c r="AK1605" s="570"/>
      <c r="AL1605" s="273"/>
      <c r="AM1605" s="273"/>
    </row>
    <row r="1606" spans="1:39" s="231" customFormat="1" ht="79.5" customHeight="1">
      <c r="B1606" s="3"/>
      <c r="C1606" s="3"/>
      <c r="D1606" s="3"/>
      <c r="F1606" s="570"/>
      <c r="G1606" s="570"/>
      <c r="H1606" s="570"/>
      <c r="I1606" s="570"/>
      <c r="J1606" s="570"/>
      <c r="K1606" s="570"/>
      <c r="L1606" s="570"/>
      <c r="M1606" s="570"/>
      <c r="N1606" s="570"/>
      <c r="O1606" s="570"/>
      <c r="P1606" s="570"/>
      <c r="Q1606" s="570"/>
      <c r="R1606" s="570"/>
      <c r="S1606" s="570"/>
      <c r="T1606" s="570"/>
      <c r="U1606" s="570"/>
      <c r="V1606" s="570"/>
      <c r="W1606" s="570"/>
      <c r="X1606" s="570"/>
      <c r="Y1606" s="570"/>
      <c r="Z1606" s="570"/>
      <c r="AA1606" s="570"/>
      <c r="AB1606" s="570"/>
      <c r="AC1606" s="570"/>
      <c r="AD1606" s="570"/>
      <c r="AE1606" s="570"/>
      <c r="AF1606" s="570"/>
      <c r="AG1606" s="570"/>
      <c r="AH1606" s="570"/>
      <c r="AI1606" s="570"/>
      <c r="AJ1606" s="570"/>
      <c r="AK1606" s="570"/>
      <c r="AL1606" s="245"/>
      <c r="AM1606" s="245"/>
    </row>
    <row r="1607" spans="1:39" s="231" customFormat="1">
      <c r="B1607" s="3"/>
      <c r="C1607" s="3"/>
      <c r="D1607" s="3"/>
      <c r="F1607" s="692"/>
      <c r="G1607" s="692"/>
      <c r="H1607" s="692"/>
      <c r="I1607" s="692"/>
      <c r="J1607" s="692"/>
      <c r="K1607" s="692"/>
      <c r="L1607" s="692"/>
      <c r="M1607" s="692"/>
      <c r="N1607" s="692"/>
      <c r="O1607" s="692"/>
      <c r="P1607" s="692"/>
      <c r="Q1607" s="692"/>
      <c r="R1607" s="692"/>
      <c r="S1607" s="692"/>
      <c r="T1607" s="692"/>
      <c r="U1607" s="692"/>
      <c r="V1607" s="692"/>
      <c r="W1607" s="692"/>
      <c r="X1607" s="692"/>
      <c r="Y1607" s="692"/>
      <c r="Z1607" s="692"/>
      <c r="AA1607" s="692"/>
      <c r="AB1607" s="692"/>
      <c r="AC1607" s="692"/>
      <c r="AD1607" s="692"/>
      <c r="AE1607" s="692"/>
      <c r="AF1607" s="692"/>
      <c r="AG1607" s="692"/>
      <c r="AH1607" s="692"/>
      <c r="AI1607" s="692"/>
      <c r="AJ1607" s="692"/>
      <c r="AK1607" s="692"/>
      <c r="AL1607" s="692"/>
      <c r="AM1607" s="692"/>
    </row>
    <row r="1608" spans="1:39" s="231" customFormat="1">
      <c r="B1608" s="3"/>
      <c r="C1608" s="3"/>
      <c r="D1608" s="3"/>
      <c r="F1608" s="229"/>
      <c r="G1608" s="229"/>
      <c r="H1608" s="229"/>
      <c r="I1608" s="229"/>
      <c r="J1608" s="229"/>
      <c r="K1608" s="229"/>
      <c r="L1608" s="229"/>
      <c r="M1608" s="229"/>
      <c r="N1608" s="229"/>
      <c r="O1608" s="229"/>
      <c r="P1608" s="229"/>
      <c r="Q1608" s="229"/>
      <c r="R1608" s="229"/>
      <c r="S1608" s="229"/>
      <c r="T1608" s="229"/>
      <c r="U1608" s="229"/>
      <c r="V1608" s="229"/>
      <c r="W1608" s="229"/>
      <c r="X1608" s="229"/>
      <c r="Y1608" s="229"/>
      <c r="Z1608" s="229"/>
      <c r="AA1608" s="229"/>
      <c r="AB1608" s="229"/>
      <c r="AC1608" s="229"/>
      <c r="AD1608" s="229"/>
      <c r="AE1608" s="229"/>
      <c r="AF1608" s="229"/>
      <c r="AG1608" s="229"/>
      <c r="AH1608" s="229"/>
      <c r="AI1608" s="229"/>
      <c r="AJ1608" s="229"/>
      <c r="AK1608" s="229"/>
      <c r="AL1608" s="229"/>
      <c r="AM1608" s="229"/>
    </row>
    <row r="1609" spans="1:39" s="231" customFormat="1">
      <c r="B1609" s="3"/>
      <c r="C1609" s="3"/>
      <c r="D1609" s="3"/>
      <c r="F1609" s="229"/>
      <c r="G1609" s="229"/>
      <c r="H1609" s="229"/>
      <c r="I1609" s="229"/>
      <c r="J1609" s="229"/>
      <c r="K1609" s="229"/>
      <c r="L1609" s="229"/>
      <c r="M1609" s="229"/>
      <c r="N1609" s="229"/>
      <c r="O1609" s="229"/>
      <c r="P1609" s="229"/>
      <c r="Q1609" s="229"/>
      <c r="R1609" s="229"/>
      <c r="S1609" s="229"/>
      <c r="T1609" s="229"/>
      <c r="U1609" s="229"/>
      <c r="V1609" s="229"/>
      <c r="W1609" s="229"/>
      <c r="X1609" s="229"/>
      <c r="Y1609" s="229"/>
      <c r="Z1609" s="229"/>
      <c r="AA1609" s="229"/>
      <c r="AB1609" s="229"/>
      <c r="AC1609" s="229"/>
      <c r="AD1609" s="229"/>
      <c r="AE1609" s="229"/>
      <c r="AF1609" s="229"/>
      <c r="AG1609" s="229"/>
      <c r="AH1609" s="229"/>
      <c r="AI1609" s="229"/>
      <c r="AJ1609" s="229"/>
      <c r="AK1609" s="229"/>
      <c r="AL1609" s="229"/>
      <c r="AM1609" s="229"/>
    </row>
    <row r="1610" spans="1:39">
      <c r="A1610" s="3"/>
      <c r="B1610" s="3"/>
      <c r="C1610" s="3"/>
      <c r="D1610" s="3"/>
      <c r="F1610" s="12"/>
      <c r="G1610" s="12"/>
      <c r="H1610" s="12"/>
      <c r="I1610" s="12"/>
      <c r="J1610" s="12"/>
      <c r="K1610" s="12"/>
      <c r="L1610" s="12"/>
      <c r="M1610" s="12"/>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1610" s="12"/>
    </row>
    <row r="1611" spans="1:39">
      <c r="A1611" s="3"/>
      <c r="B1611" s="3"/>
      <c r="C1611" s="3"/>
      <c r="D1611" s="3"/>
      <c r="F1611" s="12"/>
      <c r="G1611" s="12"/>
      <c r="H1611" s="12"/>
      <c r="I1611" s="12"/>
      <c r="J1611" s="12"/>
      <c r="K1611" s="12"/>
      <c r="L1611" s="12"/>
      <c r="M1611" s="12"/>
      <c r="N1611" s="12"/>
      <c r="O1611" s="12"/>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c r="AM1611" s="12"/>
    </row>
    <row r="1612" spans="1:39">
      <c r="A1612" s="3"/>
      <c r="B1612" s="3"/>
      <c r="C1612" s="3"/>
      <c r="D1612" s="3"/>
      <c r="F1612" s="12"/>
      <c r="G1612" s="12"/>
      <c r="H1612" s="12"/>
      <c r="I1612" s="12"/>
      <c r="J1612" s="12"/>
      <c r="K1612" s="12"/>
      <c r="L1612" s="12"/>
      <c r="M1612" s="12"/>
      <c r="N1612" s="12"/>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c r="AM1612" s="12"/>
    </row>
    <row r="1613" spans="1:39" ht="12" customHeight="1">
      <c r="A1613" s="3"/>
      <c r="B1613" s="3"/>
      <c r="C1613" s="3"/>
      <c r="D1613" s="3"/>
      <c r="E1613" s="18"/>
      <c r="F1613" s="12"/>
      <c r="G1613" s="12"/>
      <c r="H1613" s="12"/>
      <c r="I1613" s="12"/>
      <c r="J1613" s="12"/>
      <c r="K1613" s="12"/>
      <c r="L1613" s="12"/>
      <c r="M1613" s="12"/>
      <c r="N1613" s="12"/>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1613" s="12"/>
    </row>
    <row r="1614" spans="1:39">
      <c r="A1614" s="3"/>
      <c r="B1614" s="3"/>
      <c r="C1614" s="3"/>
      <c r="D1614" s="3"/>
      <c r="E1614" s="10"/>
      <c r="F1614" s="10"/>
      <c r="G1614" s="10"/>
      <c r="H1614" s="10"/>
      <c r="I1614" s="10"/>
      <c r="J1614" s="10"/>
      <c r="K1614" s="10"/>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1" t="s">
        <v>24</v>
      </c>
      <c r="AK1614" s="612">
        <v>24</v>
      </c>
      <c r="AL1614" s="612"/>
      <c r="AM1614" s="11" t="s">
        <v>24</v>
      </c>
    </row>
  </sheetData>
  <autoFilter ref="D2:D1578">
    <filterColumn colId="0">
      <filters blank="1">
        <filter val="+"/>
        <filter val="1."/>
        <filter val="10."/>
        <filter val="101 821"/>
        <filter val="11."/>
        <filter val="12."/>
        <filter val="13."/>
        <filter val="14."/>
        <filter val="15."/>
        <filter val="157 082"/>
        <filter val="16."/>
        <filter val="17."/>
        <filter val="18."/>
        <filter val="19."/>
        <filter val="2"/>
        <filter val="2."/>
        <filter val="20."/>
        <filter val="21."/>
        <filter val="22."/>
        <filter val="224 795"/>
        <filter val="23."/>
        <filter val="232"/>
        <filter val="24."/>
        <filter val="25."/>
        <filter val="26."/>
        <filter val="27 612"/>
        <filter val="29 338"/>
        <filter val="3."/>
        <filter val="4."/>
        <filter val="44 059"/>
        <filter val="46 104"/>
        <filter val="5 163"/>
        <filter val="5."/>
        <filter val="531 842"/>
        <filter val="6 095"/>
        <filter val="6."/>
        <filter val="603 365"/>
        <filter val="685 098"/>
        <filter val="7,9677"/>
        <filter val="7,967715726"/>
        <filter val="7,9897"/>
        <filter val="7."/>
        <filter val="780 232"/>
        <filter val="8."/>
        <filter val="9."/>
        <filter val="91 354"/>
        <filter val="92 020"/>
        <filter val="E.423.05"/>
        <filter val="Rf"/>
        <filter val="S2"/>
      </filters>
    </filterColumn>
  </autoFilter>
  <mergeCells count="1126">
    <mergeCell ref="AK1010:AL1010"/>
    <mergeCell ref="AK1082:AL1082"/>
    <mergeCell ref="AK1435:AL1435"/>
    <mergeCell ref="AK1499:AL1499"/>
    <mergeCell ref="F1515:AL1516"/>
    <mergeCell ref="F1518:AK1518"/>
    <mergeCell ref="F1521:AL1523"/>
    <mergeCell ref="F1526:AL1528"/>
    <mergeCell ref="F1531:AL1532"/>
    <mergeCell ref="F1535:AL1537"/>
    <mergeCell ref="F1417:AL1418"/>
    <mergeCell ref="F1052:AG1052"/>
    <mergeCell ref="F1054:AL1056"/>
    <mergeCell ref="F1070:AL1072"/>
    <mergeCell ref="F1075:AL1077"/>
    <mergeCell ref="F1079:AL1081"/>
    <mergeCell ref="F1089:AL1092"/>
    <mergeCell ref="F1093:AL1095"/>
    <mergeCell ref="F1099:AK1099"/>
    <mergeCell ref="F1114:AL1116"/>
    <mergeCell ref="F1128:AL1129"/>
    <mergeCell ref="F1143:AL1144"/>
    <mergeCell ref="F1172:AL1174"/>
    <mergeCell ref="F1178:AL1179"/>
    <mergeCell ref="F1198:AL1199"/>
    <mergeCell ref="Y1383:AD1384"/>
    <mergeCell ref="F1383:M1384"/>
    <mergeCell ref="N1383:S1384"/>
    <mergeCell ref="U1398:Y1399"/>
    <mergeCell ref="F1381:M1382"/>
    <mergeCell ref="N1381:S1382"/>
    <mergeCell ref="T1385:X1386"/>
    <mergeCell ref="F1540:AL1541"/>
    <mergeCell ref="F1543:AL1544"/>
    <mergeCell ref="AF1549:AI1549"/>
    <mergeCell ref="F1574:AL1577"/>
    <mergeCell ref="F1579:AL1581"/>
    <mergeCell ref="F1592:AL1599"/>
    <mergeCell ref="F1327:R1327"/>
    <mergeCell ref="AJ1555:AM1555"/>
    <mergeCell ref="AJ1556:AM1556"/>
    <mergeCell ref="AF1556:AI1556"/>
    <mergeCell ref="X1556:AA1556"/>
    <mergeCell ref="AB1556:AE1556"/>
    <mergeCell ref="F1556:V1556"/>
    <mergeCell ref="F1559:S1559"/>
    <mergeCell ref="F1585:W1585"/>
    <mergeCell ref="AG1585:AK1585"/>
    <mergeCell ref="AG1583:AK1584"/>
    <mergeCell ref="X1557:AA1557"/>
    <mergeCell ref="X1559:AA1559"/>
    <mergeCell ref="AB1559:AE1559"/>
    <mergeCell ref="AJ1559:AM1559"/>
    <mergeCell ref="AF1559:AI1559"/>
    <mergeCell ref="F1400:Q1400"/>
    <mergeCell ref="F1395:AL1395"/>
    <mergeCell ref="F1405:AL1406"/>
    <mergeCell ref="AA1408:AE1409"/>
    <mergeCell ref="AA1410:AE1410"/>
    <mergeCell ref="AG1410:AK1410"/>
    <mergeCell ref="F1422:W1422"/>
    <mergeCell ref="AA1411:AE1411"/>
    <mergeCell ref="AG1411:AK1411"/>
    <mergeCell ref="F1415:G1415"/>
    <mergeCell ref="AA1398:AE1399"/>
    <mergeCell ref="AE1385:AJ1386"/>
    <mergeCell ref="M1340:Q1341"/>
    <mergeCell ref="G783:AH783"/>
    <mergeCell ref="H928:AD928"/>
    <mergeCell ref="F929:AL931"/>
    <mergeCell ref="F932:AL934"/>
    <mergeCell ref="F944:AL945"/>
    <mergeCell ref="F946:AL947"/>
    <mergeCell ref="F948:AL949"/>
    <mergeCell ref="H951:AB951"/>
    <mergeCell ref="F952:AL957"/>
    <mergeCell ref="F959:AL959"/>
    <mergeCell ref="H961:AJ961"/>
    <mergeCell ref="F962:AL964"/>
    <mergeCell ref="F965:AL966"/>
    <mergeCell ref="H968:T968"/>
    <mergeCell ref="F969:AL971"/>
    <mergeCell ref="H989:U989"/>
    <mergeCell ref="H862:AJ862"/>
    <mergeCell ref="F863:AL864"/>
    <mergeCell ref="H866:AJ866"/>
    <mergeCell ref="F867:AL871"/>
    <mergeCell ref="H888:AA888"/>
    <mergeCell ref="F889:AL893"/>
    <mergeCell ref="F791:AL795"/>
    <mergeCell ref="F797:AL801"/>
    <mergeCell ref="F803:AL807"/>
    <mergeCell ref="F809:AL810"/>
    <mergeCell ref="F813:AL816"/>
    <mergeCell ref="G812:Z812"/>
    <mergeCell ref="F817:AL820"/>
    <mergeCell ref="G833:AL833"/>
    <mergeCell ref="G834:AL837"/>
    <mergeCell ref="F839:AL843"/>
    <mergeCell ref="H846:AK846"/>
    <mergeCell ref="F847:AL850"/>
    <mergeCell ref="F852:AL853"/>
    <mergeCell ref="H855:AJ855"/>
    <mergeCell ref="F855:G855"/>
    <mergeCell ref="F846:G846"/>
    <mergeCell ref="AK821:AL821"/>
    <mergeCell ref="F729:AL731"/>
    <mergeCell ref="F732:AL733"/>
    <mergeCell ref="F735:AL735"/>
    <mergeCell ref="G736:V736"/>
    <mergeCell ref="G737:V737"/>
    <mergeCell ref="F739:AL740"/>
    <mergeCell ref="F742:AL744"/>
    <mergeCell ref="F747:AL749"/>
    <mergeCell ref="F750:AL753"/>
    <mergeCell ref="F754:AL757"/>
    <mergeCell ref="F758:AL767"/>
    <mergeCell ref="F768:AL772"/>
    <mergeCell ref="F784:AL786"/>
    <mergeCell ref="F788:AL788"/>
    <mergeCell ref="G790:X790"/>
    <mergeCell ref="H643:AF643"/>
    <mergeCell ref="F645:AL651"/>
    <mergeCell ref="F652:AL654"/>
    <mergeCell ref="F655:AL655"/>
    <mergeCell ref="F656:AL656"/>
    <mergeCell ref="H666:AK666"/>
    <mergeCell ref="F667:AL668"/>
    <mergeCell ref="F669:AL670"/>
    <mergeCell ref="F672:AL674"/>
    <mergeCell ref="F676:AL680"/>
    <mergeCell ref="F682:AL687"/>
    <mergeCell ref="H746:AG746"/>
    <mergeCell ref="AK773:AL773"/>
    <mergeCell ref="H726:AJ726"/>
    <mergeCell ref="H728:R728"/>
    <mergeCell ref="G830:AH830"/>
    <mergeCell ref="F831:AL832"/>
    <mergeCell ref="G554:AL555"/>
    <mergeCell ref="F556:AL558"/>
    <mergeCell ref="F561:AL562"/>
    <mergeCell ref="F574:AL579"/>
    <mergeCell ref="F581:AL585"/>
    <mergeCell ref="H560:Y560"/>
    <mergeCell ref="F538:AL538"/>
    <mergeCell ref="H532:AL532"/>
    <mergeCell ref="H505:Z505"/>
    <mergeCell ref="H498:AC498"/>
    <mergeCell ref="H496:AL496"/>
    <mergeCell ref="F494:AL494"/>
    <mergeCell ref="H486:AL486"/>
    <mergeCell ref="E142:AL144"/>
    <mergeCell ref="F171:AK171"/>
    <mergeCell ref="F152:AL152"/>
    <mergeCell ref="F268:AK268"/>
    <mergeCell ref="F337:AL337"/>
    <mergeCell ref="F407:AL407"/>
    <mergeCell ref="F146:AL150"/>
    <mergeCell ref="F160:AL162"/>
    <mergeCell ref="F173:AL174"/>
    <mergeCell ref="F176:AL177"/>
    <mergeCell ref="F183:AL184"/>
    <mergeCell ref="AC567:AG568"/>
    <mergeCell ref="AH567:AL568"/>
    <mergeCell ref="AG448:AK448"/>
    <mergeCell ref="F471:Q471"/>
    <mergeCell ref="Z471:AK471"/>
    <mergeCell ref="F448:AB448"/>
    <mergeCell ref="AC448:AE448"/>
    <mergeCell ref="AG457:AK457"/>
    <mergeCell ref="F488:AL493"/>
    <mergeCell ref="F499:AL503"/>
    <mergeCell ref="F506:AL507"/>
    <mergeCell ref="F509:AL512"/>
    <mergeCell ref="F514:AL515"/>
    <mergeCell ref="F524:AL525"/>
    <mergeCell ref="F527:AL530"/>
    <mergeCell ref="F533:AL537"/>
    <mergeCell ref="G548:AL549"/>
    <mergeCell ref="G550:AL550"/>
    <mergeCell ref="AG75:AJ75"/>
    <mergeCell ref="AG76:AJ76"/>
    <mergeCell ref="AG77:AJ77"/>
    <mergeCell ref="AG78:AJ78"/>
    <mergeCell ref="AG79:AJ79"/>
    <mergeCell ref="AG80:AJ80"/>
    <mergeCell ref="AG82:AJ82"/>
    <mergeCell ref="AG83:AJ83"/>
    <mergeCell ref="AG84:AJ84"/>
    <mergeCell ref="AG85:AJ85"/>
    <mergeCell ref="AG86:AJ86"/>
    <mergeCell ref="AG87:AJ87"/>
    <mergeCell ref="AG89:AJ89"/>
    <mergeCell ref="AG90:AJ90"/>
    <mergeCell ref="AG91:AJ91"/>
    <mergeCell ref="AG92:AJ92"/>
    <mergeCell ref="AG93:AJ93"/>
    <mergeCell ref="AG94:AJ94"/>
    <mergeCell ref="AG95:AJ95"/>
    <mergeCell ref="AG96:AJ96"/>
    <mergeCell ref="AK540:AL540"/>
    <mergeCell ref="AG88:AJ88"/>
    <mergeCell ref="AG97:AJ97"/>
    <mergeCell ref="F216:Q216"/>
    <mergeCell ref="F238:P238"/>
    <mergeCell ref="AG238:AK238"/>
    <mergeCell ref="F245:V245"/>
    <mergeCell ref="F244:U244"/>
    <mergeCell ref="AJ244:AK244"/>
    <mergeCell ref="F643:G643"/>
    <mergeCell ref="F728:G728"/>
    <mergeCell ref="F746:G746"/>
    <mergeCell ref="F1550:U1550"/>
    <mergeCell ref="AB1550:AE1550"/>
    <mergeCell ref="AF1550:AI1550"/>
    <mergeCell ref="F1554:V1554"/>
    <mergeCell ref="X1554:AA1554"/>
    <mergeCell ref="F1073:AM1073"/>
    <mergeCell ref="AJ1548:AM1548"/>
    <mergeCell ref="AB1554:AE1554"/>
    <mergeCell ref="X1553:AA1553"/>
    <mergeCell ref="AB1553:AE1553"/>
    <mergeCell ref="AF1553:AI1553"/>
    <mergeCell ref="AF1554:AI1554"/>
    <mergeCell ref="AF1552:AI1552"/>
    <mergeCell ref="F1553:V1553"/>
    <mergeCell ref="F1551:P1551"/>
    <mergeCell ref="X1552:AA1552"/>
    <mergeCell ref="AB1552:AE1552"/>
    <mergeCell ref="AB1551:AE1551"/>
    <mergeCell ref="AF1551:AI1551"/>
    <mergeCell ref="AJ1550:AM1550"/>
    <mergeCell ref="AJ1549:AM1549"/>
    <mergeCell ref="F1520:AM1520"/>
    <mergeCell ref="F1586:W1586"/>
    <mergeCell ref="F1587:W1587"/>
    <mergeCell ref="AG1587:AK1587"/>
    <mergeCell ref="AG1586:AK1586"/>
    <mergeCell ref="AK1614:AL1614"/>
    <mergeCell ref="F1590:G1590"/>
    <mergeCell ref="H1590:AM1590"/>
    <mergeCell ref="F1601:G1601"/>
    <mergeCell ref="F1607:AM1607"/>
    <mergeCell ref="F1555:V1555"/>
    <mergeCell ref="X1555:AA1555"/>
    <mergeCell ref="AB1555:AE1555"/>
    <mergeCell ref="AA1583:AE1584"/>
    <mergeCell ref="AA1585:AE1585"/>
    <mergeCell ref="AA1586:AE1586"/>
    <mergeCell ref="AA1587:AE1587"/>
    <mergeCell ref="AB1557:AE1557"/>
    <mergeCell ref="AF1557:AI1557"/>
    <mergeCell ref="AF1555:AI1555"/>
    <mergeCell ref="AK1564:AL1564"/>
    <mergeCell ref="AJ1557:AM1557"/>
    <mergeCell ref="F1557:S1557"/>
    <mergeCell ref="AJ1553:AM1553"/>
    <mergeCell ref="AJ1554:AM1554"/>
    <mergeCell ref="AJ1552:AM1552"/>
    <mergeCell ref="F1549:V1549"/>
    <mergeCell ref="AF1548:AI1548"/>
    <mergeCell ref="AJ1551:AM1551"/>
    <mergeCell ref="AB1546:AE1547"/>
    <mergeCell ref="AF1546:AI1547"/>
    <mergeCell ref="AB1549:AE1549"/>
    <mergeCell ref="AB1548:AE1548"/>
    <mergeCell ref="AJ1546:AM1547"/>
    <mergeCell ref="F1548:V1548"/>
    <mergeCell ref="U1401:Y1401"/>
    <mergeCell ref="F1426:G1426"/>
    <mergeCell ref="AG1423:AK1423"/>
    <mergeCell ref="AA1412:AE1412"/>
    <mergeCell ref="AG1412:AK1412"/>
    <mergeCell ref="F1429:AL1432"/>
    <mergeCell ref="F1446:AL1454"/>
    <mergeCell ref="F1458:AL1465"/>
    <mergeCell ref="F1467:AL1468"/>
    <mergeCell ref="F1475:AL1478"/>
    <mergeCell ref="F1480:AL1482"/>
    <mergeCell ref="F1473:G1473"/>
    <mergeCell ref="F1485:AL1488"/>
    <mergeCell ref="F1492:AL1496"/>
    <mergeCell ref="F1508:AL1510"/>
    <mergeCell ref="F1512:AL1513"/>
    <mergeCell ref="F1490:G1490"/>
    <mergeCell ref="F1410:W1410"/>
    <mergeCell ref="AA1423:AE1423"/>
    <mergeCell ref="F1411:W1411"/>
    <mergeCell ref="AG1422:AK1422"/>
    <mergeCell ref="AG1355:AK1355"/>
    <mergeCell ref="Y1370:AD1371"/>
    <mergeCell ref="Y1372:AD1373"/>
    <mergeCell ref="Y1381:AD1382"/>
    <mergeCell ref="AE1374:AJ1375"/>
    <mergeCell ref="AE1372:AJ1373"/>
    <mergeCell ref="AE1370:AJ1371"/>
    <mergeCell ref="AA1420:AE1421"/>
    <mergeCell ref="AA1422:AE1422"/>
    <mergeCell ref="AA1400:AE1400"/>
    <mergeCell ref="F1403:G1403"/>
    <mergeCell ref="AG1420:AK1421"/>
    <mergeCell ref="AA1401:AE1401"/>
    <mergeCell ref="U1400:Y1400"/>
    <mergeCell ref="F1374:M1375"/>
    <mergeCell ref="N1374:S1375"/>
    <mergeCell ref="AE1383:AJ1384"/>
    <mergeCell ref="AK1383:AM1384"/>
    <mergeCell ref="AK1387:AM1387"/>
    <mergeCell ref="F1389:AM1390"/>
    <mergeCell ref="F1393:G1393"/>
    <mergeCell ref="Y1385:AD1386"/>
    <mergeCell ref="AK1385:AM1386"/>
    <mergeCell ref="F1385:M1386"/>
    <mergeCell ref="N1385:S1386"/>
    <mergeCell ref="T1383:X1384"/>
    <mergeCell ref="AG1408:AK1409"/>
    <mergeCell ref="Y1363:AD1364"/>
    <mergeCell ref="AK1365:AM1365"/>
    <mergeCell ref="F1367:AM1368"/>
    <mergeCell ref="F1370:M1371"/>
    <mergeCell ref="AK1376:AM1376"/>
    <mergeCell ref="F1378:AM1379"/>
    <mergeCell ref="T1381:X1382"/>
    <mergeCell ref="Y1374:AD1375"/>
    <mergeCell ref="AE1381:AJ1382"/>
    <mergeCell ref="AK1381:AM1382"/>
    <mergeCell ref="AK1374:AM1375"/>
    <mergeCell ref="T1374:X1375"/>
    <mergeCell ref="F1355:Y1355"/>
    <mergeCell ref="AA1355:AE1355"/>
    <mergeCell ref="F1372:M1373"/>
    <mergeCell ref="N1372:S1373"/>
    <mergeCell ref="T1372:X1373"/>
    <mergeCell ref="F1358:AM1359"/>
    <mergeCell ref="F1361:M1362"/>
    <mergeCell ref="N1361:S1362"/>
    <mergeCell ref="T1361:X1362"/>
    <mergeCell ref="Y1361:AD1362"/>
    <mergeCell ref="T1370:X1371"/>
    <mergeCell ref="AE1363:AJ1364"/>
    <mergeCell ref="AK1363:AM1364"/>
    <mergeCell ref="AA1356:AE1356"/>
    <mergeCell ref="AG1356:AK1356"/>
    <mergeCell ref="AE1361:AJ1362"/>
    <mergeCell ref="AK1361:AM1362"/>
    <mergeCell ref="AK1372:AM1373"/>
    <mergeCell ref="F1363:M1364"/>
    <mergeCell ref="N1363:S1364"/>
    <mergeCell ref="T1363:X1364"/>
    <mergeCell ref="N1370:S1371"/>
    <mergeCell ref="AK1370:AM1371"/>
    <mergeCell ref="AK1342:AM1343"/>
    <mergeCell ref="F1342:L1343"/>
    <mergeCell ref="M1342:Q1343"/>
    <mergeCell ref="R1342:U1343"/>
    <mergeCell ref="V1342:Z1343"/>
    <mergeCell ref="AA1342:AE1343"/>
    <mergeCell ref="AK1340:AM1341"/>
    <mergeCell ref="AA1353:AE1354"/>
    <mergeCell ref="AG1353:AK1354"/>
    <mergeCell ref="AM1353:AM1354"/>
    <mergeCell ref="AF1342:AJ1343"/>
    <mergeCell ref="F1346:AM1347"/>
    <mergeCell ref="F1348:G1348"/>
    <mergeCell ref="F1350:AM1351"/>
    <mergeCell ref="H1348:AM1348"/>
    <mergeCell ref="AK1344:AM1344"/>
    <mergeCell ref="AF1344:AJ1344"/>
    <mergeCell ref="F1340:L1341"/>
    <mergeCell ref="AA1340:AE1341"/>
    <mergeCell ref="AF1340:AJ1341"/>
    <mergeCell ref="R1340:U1341"/>
    <mergeCell ref="V1340:Z1341"/>
    <mergeCell ref="AK1311:AL1311"/>
    <mergeCell ref="AA1338:AE1339"/>
    <mergeCell ref="AF1338:AJ1339"/>
    <mergeCell ref="AK1338:AM1339"/>
    <mergeCell ref="M1338:Q1339"/>
    <mergeCell ref="R1338:U1339"/>
    <mergeCell ref="AA1309:AE1309"/>
    <mergeCell ref="AG1306:AK1307"/>
    <mergeCell ref="AA1306:AE1307"/>
    <mergeCell ref="AG1308:AK1308"/>
    <mergeCell ref="T1327:AA1327"/>
    <mergeCell ref="T1325:AA1326"/>
    <mergeCell ref="AB1327:AE1327"/>
    <mergeCell ref="T1329:AA1329"/>
    <mergeCell ref="F1321:G1321"/>
    <mergeCell ref="H1321:AF1321"/>
    <mergeCell ref="AB1329:AE1329"/>
    <mergeCell ref="AB1325:AE1326"/>
    <mergeCell ref="T1328:AA1328"/>
    <mergeCell ref="AB1328:AE1328"/>
    <mergeCell ref="F1323:AL1323"/>
    <mergeCell ref="F1332:AL1333"/>
    <mergeCell ref="F1328:R1328"/>
    <mergeCell ref="AG1309:AK1309"/>
    <mergeCell ref="F1308:W1308"/>
    <mergeCell ref="AA1308:AE1308"/>
    <mergeCell ref="V1338:Z1339"/>
    <mergeCell ref="F1335:AM1336"/>
    <mergeCell ref="F1338:L1339"/>
    <mergeCell ref="F1303:AL1304"/>
    <mergeCell ref="AG1277:AK1278"/>
    <mergeCell ref="AA1271:AC1271"/>
    <mergeCell ref="F1279:Y1279"/>
    <mergeCell ref="AA1298:AE1298"/>
    <mergeCell ref="AA1299:AE1299"/>
    <mergeCell ref="AA1281:AE1281"/>
    <mergeCell ref="F1281:Y1281"/>
    <mergeCell ref="F1297:Q1297"/>
    <mergeCell ref="F1290:G1290"/>
    <mergeCell ref="AG1280:AK1280"/>
    <mergeCell ref="AA1295:AE1296"/>
    <mergeCell ref="AA1297:AE1297"/>
    <mergeCell ref="AG1295:AK1296"/>
    <mergeCell ref="AG1282:AK1282"/>
    <mergeCell ref="AG1281:AK1281"/>
    <mergeCell ref="AA1277:AE1278"/>
    <mergeCell ref="AA1280:AE1280"/>
    <mergeCell ref="AK1267:AM1267"/>
    <mergeCell ref="AA1282:AE1282"/>
    <mergeCell ref="F1273:AM1275"/>
    <mergeCell ref="AG1279:AK1279"/>
    <mergeCell ref="F1280:Y1280"/>
    <mergeCell ref="AG1270:AJ1270"/>
    <mergeCell ref="AG1269:AJ1269"/>
    <mergeCell ref="AG1267:AJ1267"/>
    <mergeCell ref="AG1265:AJ1265"/>
    <mergeCell ref="AD1265:AF1265"/>
    <mergeCell ref="AA1270:AC1270"/>
    <mergeCell ref="AD1270:AF1270"/>
    <mergeCell ref="F1301:G1301"/>
    <mergeCell ref="F1298:Q1298"/>
    <mergeCell ref="AG1298:AK1298"/>
    <mergeCell ref="R1271:T1271"/>
    <mergeCell ref="U1271:W1271"/>
    <mergeCell ref="X1271:Z1271"/>
    <mergeCell ref="F1271:N1271"/>
    <mergeCell ref="AD1271:AF1271"/>
    <mergeCell ref="AG1271:AJ1271"/>
    <mergeCell ref="AG1299:AK1299"/>
    <mergeCell ref="AG1297:AK1297"/>
    <mergeCell ref="AM1277:AM1278"/>
    <mergeCell ref="F1284:AL1287"/>
    <mergeCell ref="F1292:AK1293"/>
    <mergeCell ref="X1270:Z1270"/>
    <mergeCell ref="F1266:N1266"/>
    <mergeCell ref="R1266:T1266"/>
    <mergeCell ref="U1266:W1266"/>
    <mergeCell ref="X1266:Z1266"/>
    <mergeCell ref="F1270:N1270"/>
    <mergeCell ref="R1270:T1270"/>
    <mergeCell ref="R1264:T1264"/>
    <mergeCell ref="U1264:W1264"/>
    <mergeCell ref="X1263:Z1263"/>
    <mergeCell ref="AA1264:AC1264"/>
    <mergeCell ref="AD1264:AF1264"/>
    <mergeCell ref="AG1259:AJ1259"/>
    <mergeCell ref="AA1279:AE1279"/>
    <mergeCell ref="AG1266:AJ1266"/>
    <mergeCell ref="F1268:N1268"/>
    <mergeCell ref="AG1268:AJ1268"/>
    <mergeCell ref="U1265:W1265"/>
    <mergeCell ref="X1265:Z1265"/>
    <mergeCell ref="AA1266:AC1266"/>
    <mergeCell ref="AD1266:AF1266"/>
    <mergeCell ref="AA1265:AC1265"/>
    <mergeCell ref="U1270:W1270"/>
    <mergeCell ref="F1265:N1265"/>
    <mergeCell ref="R1265:T1265"/>
    <mergeCell ref="AG1258:AJ1258"/>
    <mergeCell ref="F1261:N1262"/>
    <mergeCell ref="AG1261:AJ1261"/>
    <mergeCell ref="F1260:N1260"/>
    <mergeCell ref="AG1260:AJ1260"/>
    <mergeCell ref="AA1263:AC1263"/>
    <mergeCell ref="F1258:N1258"/>
    <mergeCell ref="R1258:T1258"/>
    <mergeCell ref="AA1258:AC1258"/>
    <mergeCell ref="AA1259:AC1259"/>
    <mergeCell ref="X1259:Z1259"/>
    <mergeCell ref="AD1259:AF1259"/>
    <mergeCell ref="AA1260:AC1260"/>
    <mergeCell ref="U1260:W1260"/>
    <mergeCell ref="AG1255:AJ1255"/>
    <mergeCell ref="X1264:Z1264"/>
    <mergeCell ref="X1258:Z1258"/>
    <mergeCell ref="AD1262:AF1262"/>
    <mergeCell ref="AG1262:AJ1262"/>
    <mergeCell ref="AG1263:AJ1263"/>
    <mergeCell ref="AG1264:AJ1264"/>
    <mergeCell ref="R1262:T1262"/>
    <mergeCell ref="U1262:W1262"/>
    <mergeCell ref="X1262:Z1262"/>
    <mergeCell ref="AA1262:AC1262"/>
    <mergeCell ref="AD1263:AF1263"/>
    <mergeCell ref="F1264:N1264"/>
    <mergeCell ref="F1263:N1263"/>
    <mergeCell ref="R1263:T1263"/>
    <mergeCell ref="U1263:W1263"/>
    <mergeCell ref="AA1253:AC1253"/>
    <mergeCell ref="F1259:N1259"/>
    <mergeCell ref="R1259:T1259"/>
    <mergeCell ref="R1260:T1260"/>
    <mergeCell ref="AD1260:AF1260"/>
    <mergeCell ref="AG1257:AJ1257"/>
    <mergeCell ref="X1249:Z1249"/>
    <mergeCell ref="AD1251:AF1251"/>
    <mergeCell ref="X1251:Z1251"/>
    <mergeCell ref="X1260:Z1260"/>
    <mergeCell ref="AD1258:AF1258"/>
    <mergeCell ref="U1259:W1259"/>
    <mergeCell ref="AG1256:AJ1256"/>
    <mergeCell ref="AA1250:AC1250"/>
    <mergeCell ref="AA1251:AC1251"/>
    <mergeCell ref="AA1254:AC1254"/>
    <mergeCell ref="AD1254:AF1254"/>
    <mergeCell ref="AG1252:AJ1252"/>
    <mergeCell ref="AA1252:AC1252"/>
    <mergeCell ref="AD1253:AF1253"/>
    <mergeCell ref="AG1253:AJ1253"/>
    <mergeCell ref="AG1254:AJ1254"/>
    <mergeCell ref="AG1251:AJ1251"/>
    <mergeCell ref="F1256:O1256"/>
    <mergeCell ref="U1258:W1258"/>
    <mergeCell ref="X1253:Z1253"/>
    <mergeCell ref="AD1252:AF1252"/>
    <mergeCell ref="R1249:T1249"/>
    <mergeCell ref="F1254:N1254"/>
    <mergeCell ref="R1254:T1254"/>
    <mergeCell ref="U1254:W1254"/>
    <mergeCell ref="X1254:Z1254"/>
    <mergeCell ref="F1252:N1252"/>
    <mergeCell ref="R1252:T1252"/>
    <mergeCell ref="U1252:W1252"/>
    <mergeCell ref="F1253:N1253"/>
    <mergeCell ref="R1253:T1253"/>
    <mergeCell ref="AK1248:AM1248"/>
    <mergeCell ref="AG1246:AJ1246"/>
    <mergeCell ref="AD1246:AF1246"/>
    <mergeCell ref="AK1246:AM1246"/>
    <mergeCell ref="X1247:Z1247"/>
    <mergeCell ref="X1250:Z1250"/>
    <mergeCell ref="AA1249:AC1249"/>
    <mergeCell ref="AD1249:AF1249"/>
    <mergeCell ref="AD1250:AF1250"/>
    <mergeCell ref="AG1250:AJ1250"/>
    <mergeCell ref="F1250:N1250"/>
    <mergeCell ref="R1251:T1251"/>
    <mergeCell ref="U1251:W1251"/>
    <mergeCell ref="U1249:W1249"/>
    <mergeCell ref="R1250:T1250"/>
    <mergeCell ref="F1251:N1251"/>
    <mergeCell ref="U1250:W1250"/>
    <mergeCell ref="X1252:Z1252"/>
    <mergeCell ref="F1247:N1247"/>
    <mergeCell ref="R1247:T1247"/>
    <mergeCell ref="U1247:W1247"/>
    <mergeCell ref="F1248:N1249"/>
    <mergeCell ref="U1253:W1253"/>
    <mergeCell ref="AG1247:AJ1247"/>
    <mergeCell ref="AK1247:AM1247"/>
    <mergeCell ref="AG1249:AJ1249"/>
    <mergeCell ref="AK1249:AM1249"/>
    <mergeCell ref="AK1245:AM1245"/>
    <mergeCell ref="AG1245:AJ1245"/>
    <mergeCell ref="F1245:N1245"/>
    <mergeCell ref="R1245:T1245"/>
    <mergeCell ref="U1245:W1245"/>
    <mergeCell ref="AA1247:AC1247"/>
    <mergeCell ref="AD1247:AF1247"/>
    <mergeCell ref="AG1248:AJ1248"/>
    <mergeCell ref="AA1240:AD1240"/>
    <mergeCell ref="AE1240:AH1240"/>
    <mergeCell ref="F1246:N1246"/>
    <mergeCell ref="R1246:T1246"/>
    <mergeCell ref="U1246:W1246"/>
    <mergeCell ref="X1246:Z1246"/>
    <mergeCell ref="AA1246:AC1246"/>
    <mergeCell ref="I1168:AL1168"/>
    <mergeCell ref="F1184:Y1184"/>
    <mergeCell ref="AG1183:AK1183"/>
    <mergeCell ref="AG1184:AK1184"/>
    <mergeCell ref="F1229:G1229"/>
    <mergeCell ref="AE1241:AH1241"/>
    <mergeCell ref="O1240:R1240"/>
    <mergeCell ref="S1240:V1240"/>
    <mergeCell ref="W1240:Z1240"/>
    <mergeCell ref="AI1240:AL1240"/>
    <mergeCell ref="F1242:Q1242"/>
    <mergeCell ref="F1244:N1244"/>
    <mergeCell ref="X1245:Z1245"/>
    <mergeCell ref="AA1245:AC1245"/>
    <mergeCell ref="AD1245:AF1245"/>
    <mergeCell ref="R1244:T1244"/>
    <mergeCell ref="U1244:W1244"/>
    <mergeCell ref="AG1244:AJ1244"/>
    <mergeCell ref="AA1244:AC1244"/>
    <mergeCell ref="AK1244:AM1244"/>
    <mergeCell ref="X1244:Z1244"/>
    <mergeCell ref="AD1244:AF1244"/>
    <mergeCell ref="AA1233:AC1239"/>
    <mergeCell ref="U1233:W1239"/>
    <mergeCell ref="X1233:Z1239"/>
    <mergeCell ref="R1233:T1239"/>
    <mergeCell ref="AG1148:AK1148"/>
    <mergeCell ref="F1146:Y1146"/>
    <mergeCell ref="F1149:Y1149"/>
    <mergeCell ref="F1150:Y1150"/>
    <mergeCell ref="AG1150:AK1150"/>
    <mergeCell ref="F1147:Y1147"/>
    <mergeCell ref="F1176:G1176"/>
    <mergeCell ref="AG1188:AK1188"/>
    <mergeCell ref="F1182:Y1182"/>
    <mergeCell ref="AG1182:AK1182"/>
    <mergeCell ref="AG1185:AK1185"/>
    <mergeCell ref="F1183:Y1183"/>
    <mergeCell ref="AK1222:AL1222"/>
    <mergeCell ref="F1197:AM1197"/>
    <mergeCell ref="AG1195:AK1195"/>
    <mergeCell ref="AG1192:AK1192"/>
    <mergeCell ref="F1189:Y1190"/>
    <mergeCell ref="AG1190:AK1190"/>
    <mergeCell ref="F1191:Y1192"/>
    <mergeCell ref="AG1151:AK1151"/>
    <mergeCell ref="AK1159:AL1159"/>
    <mergeCell ref="F1151:Y1151"/>
    <mergeCell ref="AG1154:AK1154"/>
    <mergeCell ref="F1152:Y1152"/>
    <mergeCell ref="AG1152:AK1152"/>
    <mergeCell ref="AG1153:AK1153"/>
    <mergeCell ref="AG1147:AK1147"/>
    <mergeCell ref="AG1193:AK1193"/>
    <mergeCell ref="F1153:Y1153"/>
    <mergeCell ref="AG1181:AK1181"/>
    <mergeCell ref="F1168:H1168"/>
    <mergeCell ref="AG1130:AK1130"/>
    <mergeCell ref="F1126:G1126"/>
    <mergeCell ref="F1122:Y1122"/>
    <mergeCell ref="F1131:X1131"/>
    <mergeCell ref="AG1135:AK1135"/>
    <mergeCell ref="AG1122:AK1122"/>
    <mergeCell ref="F1132:Y1132"/>
    <mergeCell ref="AG1132:AK1132"/>
    <mergeCell ref="F1133:Y1133"/>
    <mergeCell ref="AG1133:AK1133"/>
    <mergeCell ref="F1141:G1141"/>
    <mergeCell ref="AG1145:AK1145"/>
    <mergeCell ref="AG1123:AK1123"/>
    <mergeCell ref="F1136:X1136"/>
    <mergeCell ref="AG1136:AK1136"/>
    <mergeCell ref="F1134:X1134"/>
    <mergeCell ref="AG1131:AK1131"/>
    <mergeCell ref="AG1134:AK1134"/>
    <mergeCell ref="F1135:X1135"/>
    <mergeCell ref="F1138:X1138"/>
    <mergeCell ref="AG1139:AK1139"/>
    <mergeCell ref="AG1138:AK1138"/>
    <mergeCell ref="F1137:X1137"/>
    <mergeCell ref="AG1137:AK1137"/>
    <mergeCell ref="F1121:Y1121"/>
    <mergeCell ref="AG1119:AK1119"/>
    <mergeCell ref="F1120:Y1120"/>
    <mergeCell ref="AG1120:AK1120"/>
    <mergeCell ref="AG1121:AK1121"/>
    <mergeCell ref="AG1110:AK1110"/>
    <mergeCell ref="F1104:X1104"/>
    <mergeCell ref="AG1104:AK1104"/>
    <mergeCell ref="F1112:G1112"/>
    <mergeCell ref="AG1117:AK1117"/>
    <mergeCell ref="F1109:AB1109"/>
    <mergeCell ref="AG1109:AK1109"/>
    <mergeCell ref="F1119:Y1119"/>
    <mergeCell ref="F1105:X1105"/>
    <mergeCell ref="F1108:AC1108"/>
    <mergeCell ref="AG1108:AK1108"/>
    <mergeCell ref="F1107:X1107"/>
    <mergeCell ref="AG1105:AK1105"/>
    <mergeCell ref="F1118:Y1118"/>
    <mergeCell ref="F1101:X1101"/>
    <mergeCell ref="AG1101:AK1101"/>
    <mergeCell ref="AG1118:AK1118"/>
    <mergeCell ref="F1103:X1103"/>
    <mergeCell ref="AG1103:AK1103"/>
    <mergeCell ref="F1106:X1106"/>
    <mergeCell ref="AG1106:AK1106"/>
    <mergeCell ref="AG1107:AK1107"/>
    <mergeCell ref="F1102:X1102"/>
    <mergeCell ref="F1097:G1097"/>
    <mergeCell ref="F985:AM988"/>
    <mergeCell ref="F980:AM983"/>
    <mergeCell ref="F1058:AM1058"/>
    <mergeCell ref="F989:G989"/>
    <mergeCell ref="F1063:AM1066"/>
    <mergeCell ref="F1068:AM1069"/>
    <mergeCell ref="F1059:AM1061"/>
    <mergeCell ref="F990:AL991"/>
    <mergeCell ref="F993:AL998"/>
    <mergeCell ref="H1000:AG1000"/>
    <mergeCell ref="F1002:AL1005"/>
    <mergeCell ref="F1007:AL1008"/>
    <mergeCell ref="G1020:AB1020"/>
    <mergeCell ref="F1021:AL1023"/>
    <mergeCell ref="F1024:AL1026"/>
    <mergeCell ref="F1028:AL1029"/>
    <mergeCell ref="F1031:AL1034"/>
    <mergeCell ref="G1036:AG1036"/>
    <mergeCell ref="F1037:AL1040"/>
    <mergeCell ref="G1042:AF1042"/>
    <mergeCell ref="F1043:AL1048"/>
    <mergeCell ref="F1050:AL1050"/>
    <mergeCell ref="F973:G973"/>
    <mergeCell ref="F974:AM976"/>
    <mergeCell ref="F968:G968"/>
    <mergeCell ref="F1000:G1000"/>
    <mergeCell ref="F961:G961"/>
    <mergeCell ref="F977:AM978"/>
    <mergeCell ref="H973:AM973"/>
    <mergeCell ref="F951:G951"/>
    <mergeCell ref="F866:G866"/>
    <mergeCell ref="F928:G928"/>
    <mergeCell ref="F888:G888"/>
    <mergeCell ref="F856:AL857"/>
    <mergeCell ref="F859:AL860"/>
    <mergeCell ref="F862:G862"/>
    <mergeCell ref="F920:AL921"/>
    <mergeCell ref="G923:AE923"/>
    <mergeCell ref="F925:AL926"/>
    <mergeCell ref="F894:AL900"/>
    <mergeCell ref="F902:AL908"/>
    <mergeCell ref="G910:AI910"/>
    <mergeCell ref="F911:AK916"/>
    <mergeCell ref="G918:AE918"/>
    <mergeCell ref="AK878:AL878"/>
    <mergeCell ref="AK936:AL936"/>
    <mergeCell ref="F596:V596"/>
    <mergeCell ref="AC596:AM596"/>
    <mergeCell ref="AK720:AL720"/>
    <mergeCell ref="F594:V594"/>
    <mergeCell ref="AC594:AM594"/>
    <mergeCell ref="F591:V591"/>
    <mergeCell ref="AC591:AM591"/>
    <mergeCell ref="F593:V593"/>
    <mergeCell ref="AC593:AM593"/>
    <mergeCell ref="AC592:AM592"/>
    <mergeCell ref="F592:V592"/>
    <mergeCell ref="AH570:AL570"/>
    <mergeCell ref="F570:Q570"/>
    <mergeCell ref="S570:W570"/>
    <mergeCell ref="X570:AB570"/>
    <mergeCell ref="AC570:AG570"/>
    <mergeCell ref="F586:AL587"/>
    <mergeCell ref="F599:AL602"/>
    <mergeCell ref="F603:AL606"/>
    <mergeCell ref="F607:AL608"/>
    <mergeCell ref="F622:AL624"/>
    <mergeCell ref="H626:AF626"/>
    <mergeCell ref="F590:V590"/>
    <mergeCell ref="AC590:AM590"/>
    <mergeCell ref="AK613:AL613"/>
    <mergeCell ref="AK658:AL658"/>
    <mergeCell ref="F595:V595"/>
    <mergeCell ref="AC595:AM595"/>
    <mergeCell ref="F627:AL629"/>
    <mergeCell ref="F631:AL632"/>
    <mergeCell ref="F634:AL636"/>
    <mergeCell ref="F638:AL640"/>
    <mergeCell ref="AM567:AM568"/>
    <mergeCell ref="F568:Q568"/>
    <mergeCell ref="F589:V589"/>
    <mergeCell ref="AC589:AM589"/>
    <mergeCell ref="F572:AM572"/>
    <mergeCell ref="F547:AM547"/>
    <mergeCell ref="S567:W568"/>
    <mergeCell ref="X567:AB568"/>
    <mergeCell ref="F564:AM565"/>
    <mergeCell ref="G551:AL553"/>
    <mergeCell ref="F437:AB437"/>
    <mergeCell ref="F455:AB455"/>
    <mergeCell ref="AG455:AK455"/>
    <mergeCell ref="F449:AB449"/>
    <mergeCell ref="F478:AM478"/>
    <mergeCell ref="AK479:AL479"/>
    <mergeCell ref="AG437:AK437"/>
    <mergeCell ref="F439:AC439"/>
    <mergeCell ref="AG439:AK439"/>
    <mergeCell ref="F516:AM523"/>
    <mergeCell ref="F474:AM474"/>
    <mergeCell ref="AG449:AK449"/>
    <mergeCell ref="AG447:AK447"/>
    <mergeCell ref="F453:AD453"/>
    <mergeCell ref="AG453:AK453"/>
    <mergeCell ref="AG456:AK456"/>
    <mergeCell ref="F457:AB457"/>
    <mergeCell ref="AG445:AK445"/>
    <mergeCell ref="F451:AB451"/>
    <mergeCell ref="AC447:AE447"/>
    <mergeCell ref="AG443:AK443"/>
    <mergeCell ref="AG442:AK442"/>
    <mergeCell ref="F472:Q472"/>
    <mergeCell ref="Z472:AK472"/>
    <mergeCell ref="AG422:AK422"/>
    <mergeCell ref="AC423:AE423"/>
    <mergeCell ref="AG420:AK420"/>
    <mergeCell ref="F428:AB429"/>
    <mergeCell ref="F420:AB420"/>
    <mergeCell ref="F431:AB432"/>
    <mergeCell ref="AC432:AE432"/>
    <mergeCell ref="F430:AB430"/>
    <mergeCell ref="AC430:AE430"/>
    <mergeCell ref="F424:AB424"/>
    <mergeCell ref="AC424:AE424"/>
    <mergeCell ref="F425:AB425"/>
    <mergeCell ref="AC429:AE429"/>
    <mergeCell ref="F446:AB446"/>
    <mergeCell ref="AG451:AK451"/>
    <mergeCell ref="F458:AB458"/>
    <mergeCell ref="AG458:AK458"/>
    <mergeCell ref="F447:AB447"/>
    <mergeCell ref="AG446:AK446"/>
    <mergeCell ref="F433:AB433"/>
    <mergeCell ref="AG433:AK433"/>
    <mergeCell ref="AG432:AK432"/>
    <mergeCell ref="AG425:AK425"/>
    <mergeCell ref="F467:W467"/>
    <mergeCell ref="F435:AB435"/>
    <mergeCell ref="AC435:AE435"/>
    <mergeCell ref="AG435:AK435"/>
    <mergeCell ref="F442:AB442"/>
    <mergeCell ref="F445:AC445"/>
    <mergeCell ref="F443:AB443"/>
    <mergeCell ref="F400:W400"/>
    <mergeCell ref="Z404:AK404"/>
    <mergeCell ref="F405:Q405"/>
    <mergeCell ref="Z405:AK405"/>
    <mergeCell ref="F404:Q404"/>
    <mergeCell ref="AG428:AK428"/>
    <mergeCell ref="F417:AB417"/>
    <mergeCell ref="AC421:AE421"/>
    <mergeCell ref="AG409:AK409"/>
    <mergeCell ref="AC409:AE409"/>
    <mergeCell ref="AG416:AK416"/>
    <mergeCell ref="AK410:AL410"/>
    <mergeCell ref="AG427:AK427"/>
    <mergeCell ref="AG430:AK430"/>
    <mergeCell ref="AG441:AK441"/>
    <mergeCell ref="F426:AB426"/>
    <mergeCell ref="F427:AB427"/>
    <mergeCell ref="AC427:AE427"/>
    <mergeCell ref="F418:AB418"/>
    <mergeCell ref="F441:AB441"/>
    <mergeCell ref="AC441:AE441"/>
    <mergeCell ref="AG418:AK418"/>
    <mergeCell ref="AG423:AK423"/>
    <mergeCell ref="AG424:AK424"/>
    <mergeCell ref="F421:AA421"/>
    <mergeCell ref="F423:AB423"/>
    <mergeCell ref="F422:AB422"/>
    <mergeCell ref="AG429:AK429"/>
    <mergeCell ref="F361:O361"/>
    <mergeCell ref="F358:O359"/>
    <mergeCell ref="U361:X361"/>
    <mergeCell ref="Z361:AC361"/>
    <mergeCell ref="F349:R349"/>
    <mergeCell ref="F352:R353"/>
    <mergeCell ref="Z359:AC359"/>
    <mergeCell ref="U359:X359"/>
    <mergeCell ref="P357:S357"/>
    <mergeCell ref="T357:X357"/>
    <mergeCell ref="AE361:AH361"/>
    <mergeCell ref="AJ359:AM359"/>
    <mergeCell ref="AG426:AK426"/>
    <mergeCell ref="AG421:AK421"/>
    <mergeCell ref="AK349:AM349"/>
    <mergeCell ref="AK350:AM350"/>
    <mergeCell ref="AK353:AM353"/>
    <mergeCell ref="AK351:AM351"/>
    <mergeCell ref="AE355:AH355"/>
    <mergeCell ref="AJ355:AM355"/>
    <mergeCell ref="Y349:AD349"/>
    <mergeCell ref="S351:X351"/>
    <mergeCell ref="AE349:AJ349"/>
    <mergeCell ref="AJ361:AM361"/>
    <mergeCell ref="F355:O355"/>
    <mergeCell ref="P355:S355"/>
    <mergeCell ref="T355:X355"/>
    <mergeCell ref="Y355:AC355"/>
    <mergeCell ref="AC416:AE416"/>
    <mergeCell ref="F357:O357"/>
    <mergeCell ref="Y357:AD357"/>
    <mergeCell ref="P359:S359"/>
    <mergeCell ref="P361:S361"/>
    <mergeCell ref="AK339:AL339"/>
    <mergeCell ref="F301:S301"/>
    <mergeCell ref="AC336:AE336"/>
    <mergeCell ref="F334:Q334"/>
    <mergeCell ref="AG289:AK289"/>
    <mergeCell ref="AG301:AK301"/>
    <mergeCell ref="AA301:AE301"/>
    <mergeCell ref="F291:W291"/>
    <mergeCell ref="F295:W295"/>
    <mergeCell ref="AE357:AH357"/>
    <mergeCell ref="F299:S299"/>
    <mergeCell ref="AG299:AK299"/>
    <mergeCell ref="AG293:AK293"/>
    <mergeCell ref="AA295:AE295"/>
    <mergeCell ref="AA293:AE293"/>
    <mergeCell ref="AG290:AK290"/>
    <mergeCell ref="S353:X353"/>
    <mergeCell ref="F330:W330"/>
    <mergeCell ref="F335:Q335"/>
    <mergeCell ref="Z335:AK335"/>
    <mergeCell ref="Z334:AK334"/>
    <mergeCell ref="AA299:AE299"/>
    <mergeCell ref="AE359:AH359"/>
    <mergeCell ref="AK357:AL357"/>
    <mergeCell ref="Y353:AD353"/>
    <mergeCell ref="P346:S348"/>
    <mergeCell ref="AE353:AJ353"/>
    <mergeCell ref="Y351:AD351"/>
    <mergeCell ref="AE351:AJ351"/>
    <mergeCell ref="F351:R351"/>
    <mergeCell ref="AG295:AK295"/>
    <mergeCell ref="AA289:AE289"/>
    <mergeCell ref="F297:S297"/>
    <mergeCell ref="AG336:AK336"/>
    <mergeCell ref="Z346:AC348"/>
    <mergeCell ref="AJ346:AM348"/>
    <mergeCell ref="AE346:AH348"/>
    <mergeCell ref="U346:X348"/>
    <mergeCell ref="S349:X349"/>
    <mergeCell ref="F293:W293"/>
    <mergeCell ref="F288:W288"/>
    <mergeCell ref="F289:W289"/>
    <mergeCell ref="F281:Z282"/>
    <mergeCell ref="F280:W280"/>
    <mergeCell ref="F279:W279"/>
    <mergeCell ref="AG291:AK291"/>
    <mergeCell ref="F290:W290"/>
    <mergeCell ref="AA290:AE290"/>
    <mergeCell ref="AA291:AE291"/>
    <mergeCell ref="AG286:AK286"/>
    <mergeCell ref="AG284:AK284"/>
    <mergeCell ref="AA284:AE284"/>
    <mergeCell ref="AA286:AE286"/>
    <mergeCell ref="AA279:AE279"/>
    <mergeCell ref="AA280:AE280"/>
    <mergeCell ref="AA278:AE278"/>
    <mergeCell ref="AG287:AK287"/>
    <mergeCell ref="AA282:AE282"/>
    <mergeCell ref="AG282:AK282"/>
    <mergeCell ref="F286:W286"/>
    <mergeCell ref="X288:Z288"/>
    <mergeCell ref="F284:W284"/>
    <mergeCell ref="F287:W287"/>
    <mergeCell ref="X286:Z286"/>
    <mergeCell ref="AA287:AE287"/>
    <mergeCell ref="AG288:AK288"/>
    <mergeCell ref="AA288:AE288"/>
    <mergeCell ref="AC248:AE248"/>
    <mergeCell ref="AA249:AE249"/>
    <mergeCell ref="AG249:AK249"/>
    <mergeCell ref="AG246:AK246"/>
    <mergeCell ref="AG250:AK250"/>
    <mergeCell ref="AG248:AK248"/>
    <mergeCell ref="AC250:AE250"/>
    <mergeCell ref="AG278:AK278"/>
    <mergeCell ref="AK271:AL271"/>
    <mergeCell ref="AG280:AK280"/>
    <mergeCell ref="AC270:AE270"/>
    <mergeCell ref="AG260:AK260"/>
    <mergeCell ref="AC260:AE260"/>
    <mergeCell ref="AG279:AK279"/>
    <mergeCell ref="AG270:AK270"/>
    <mergeCell ref="Z265:AK265"/>
    <mergeCell ref="F266:Q266"/>
    <mergeCell ref="Z266:AK266"/>
    <mergeCell ref="F246:V246"/>
    <mergeCell ref="W246:Y246"/>
    <mergeCell ref="AA246:AE246"/>
    <mergeCell ref="F247:V247"/>
    <mergeCell ref="W247:Y247"/>
    <mergeCell ref="AA247:AE247"/>
    <mergeCell ref="AG247:AK247"/>
    <mergeCell ref="X278:Z278"/>
    <mergeCell ref="AC267:AE267"/>
    <mergeCell ref="AG267:AK267"/>
    <mergeCell ref="F261:W261"/>
    <mergeCell ref="F265:Q265"/>
    <mergeCell ref="X279:Z279"/>
    <mergeCell ref="X280:Z280"/>
    <mergeCell ref="F229:V229"/>
    <mergeCell ref="F228:V228"/>
    <mergeCell ref="W225:Y225"/>
    <mergeCell ref="AG225:AK225"/>
    <mergeCell ref="F226:V226"/>
    <mergeCell ref="W226:Y226"/>
    <mergeCell ref="F227:V227"/>
    <mergeCell ref="W227:Y227"/>
    <mergeCell ref="W243:Y243"/>
    <mergeCell ref="AA243:AE243"/>
    <mergeCell ref="W229:Y229"/>
    <mergeCell ref="AA229:AE229"/>
    <mergeCell ref="AA237:AE237"/>
    <mergeCell ref="AA236:AE236"/>
    <mergeCell ref="AA234:AE234"/>
    <mergeCell ref="F242:V242"/>
    <mergeCell ref="W235:Y235"/>
    <mergeCell ref="F243:V243"/>
    <mergeCell ref="AA239:AE239"/>
    <mergeCell ref="AG241:AK241"/>
    <mergeCell ref="F194:W194"/>
    <mergeCell ref="AG99:AJ99"/>
    <mergeCell ref="AG100:AJ100"/>
    <mergeCell ref="AG101:AJ101"/>
    <mergeCell ref="AG102:AJ102"/>
    <mergeCell ref="AG103:AJ103"/>
    <mergeCell ref="F223:V223"/>
    <mergeCell ref="W223:Y223"/>
    <mergeCell ref="AG211:AK212"/>
    <mergeCell ref="F220:V220"/>
    <mergeCell ref="AG216:AK216"/>
    <mergeCell ref="W215:Y215"/>
    <mergeCell ref="AG218:AK218"/>
    <mergeCell ref="F217:V217"/>
    <mergeCell ref="AA217:AE217"/>
    <mergeCell ref="W217:Y217"/>
    <mergeCell ref="F218:V218"/>
    <mergeCell ref="W218:Y218"/>
    <mergeCell ref="W219:Y219"/>
    <mergeCell ref="F222:V222"/>
    <mergeCell ref="AI137:AJ137"/>
    <mergeCell ref="AK204:AL204"/>
    <mergeCell ref="W220:Y220"/>
    <mergeCell ref="AG220:AK220"/>
    <mergeCell ref="W222:Y222"/>
    <mergeCell ref="F221:V221"/>
    <mergeCell ref="AA223:AE223"/>
    <mergeCell ref="AG223:AK223"/>
    <mergeCell ref="AA215:AE215"/>
    <mergeCell ref="F214:V214"/>
    <mergeCell ref="F215:V215"/>
    <mergeCell ref="W214:Y214"/>
    <mergeCell ref="AG243:AK243"/>
    <mergeCell ref="AG224:AK224"/>
    <mergeCell ref="AA224:AE224"/>
    <mergeCell ref="AG229:AK229"/>
    <mergeCell ref="AJ221:AK221"/>
    <mergeCell ref="AG237:AK237"/>
    <mergeCell ref="AG236:AK236"/>
    <mergeCell ref="F240:V240"/>
    <mergeCell ref="W240:Y240"/>
    <mergeCell ref="F241:V241"/>
    <mergeCell ref="W241:Y241"/>
    <mergeCell ref="AA241:AE241"/>
    <mergeCell ref="W234:Y234"/>
    <mergeCell ref="F236:V236"/>
    <mergeCell ref="F230:V230"/>
    <mergeCell ref="W230:Y230"/>
    <mergeCell ref="AG239:AK239"/>
    <mergeCell ref="AA230:AE230"/>
    <mergeCell ref="AG230:AK230"/>
    <mergeCell ref="W236:Y236"/>
    <mergeCell ref="AA238:AE238"/>
    <mergeCell ref="W237:Y237"/>
    <mergeCell ref="F198:Q198"/>
    <mergeCell ref="F199:Q199"/>
    <mergeCell ref="AG215:AK215"/>
    <mergeCell ref="F213:W213"/>
    <mergeCell ref="W211:Y212"/>
    <mergeCell ref="Z198:AK198"/>
    <mergeCell ref="Z199:AK199"/>
    <mergeCell ref="AA211:AE212"/>
    <mergeCell ref="F225:V225"/>
    <mergeCell ref="AG234:AK234"/>
    <mergeCell ref="AG231:AK231"/>
    <mergeCell ref="F231:V231"/>
    <mergeCell ref="W231:Y231"/>
    <mergeCell ref="F234:V234"/>
    <mergeCell ref="F232:V232"/>
    <mergeCell ref="F233:V233"/>
    <mergeCell ref="AA232:AE232"/>
    <mergeCell ref="AA233:AE233"/>
    <mergeCell ref="AA231:AE231"/>
    <mergeCell ref="AA225:AE225"/>
    <mergeCell ref="AG222:AK222"/>
    <mergeCell ref="F219:V219"/>
    <mergeCell ref="AA222:AE222"/>
    <mergeCell ref="AA221:AE221"/>
    <mergeCell ref="AG217:AK217"/>
    <mergeCell ref="AG219:AK219"/>
    <mergeCell ref="AA220:AE220"/>
    <mergeCell ref="AA216:AE216"/>
    <mergeCell ref="AA244:AE244"/>
    <mergeCell ref="AG98:AJ98"/>
    <mergeCell ref="F81:AL81"/>
    <mergeCell ref="F1603:AK1606"/>
    <mergeCell ref="AW1:BC2"/>
    <mergeCell ref="AG2:AK2"/>
    <mergeCell ref="AN1:AN2"/>
    <mergeCell ref="AO1:AO2"/>
    <mergeCell ref="AT1:AV2"/>
    <mergeCell ref="AP1:AP2"/>
    <mergeCell ref="AQ1:AS2"/>
    <mergeCell ref="AG1:AK1"/>
    <mergeCell ref="Y32:AM32"/>
    <mergeCell ref="Y31:AM31"/>
    <mergeCell ref="Y33:AM33"/>
    <mergeCell ref="Y34:AM34"/>
    <mergeCell ref="E71:AM71"/>
    <mergeCell ref="F73:AM73"/>
    <mergeCell ref="Y28:AM29"/>
    <mergeCell ref="Y30:AM30"/>
    <mergeCell ref="AG245:AK245"/>
    <mergeCell ref="AA242:AE242"/>
    <mergeCell ref="AG242:AK242"/>
    <mergeCell ref="W245:Y245"/>
    <mergeCell ref="AA245:AE245"/>
    <mergeCell ref="W242:Y242"/>
    <mergeCell ref="AG232:AK232"/>
    <mergeCell ref="AG233:AK233"/>
    <mergeCell ref="F237:V237"/>
    <mergeCell ref="W239:Y239"/>
    <mergeCell ref="F235:V235"/>
    <mergeCell ref="F239:V239"/>
  </mergeCells>
  <phoneticPr fontId="68" type="noConversion"/>
  <pageMargins left="0.70866141732283472" right="0.51181102362204722" top="0.35433070866141736" bottom="0.35433070866141736" header="0.31496062992125984" footer="0.31496062992125984"/>
  <pageSetup paperSize="9" scale="94" orientation="portrait" r:id="rId1"/>
  <rowBreaks count="7" manualBreakCount="7">
    <brk id="205" min="4" max="42" man="1"/>
    <brk id="271" min="4" max="42" man="1"/>
    <brk id="340" min="4" max="42" man="1"/>
    <brk id="410" min="4" max="42" man="1"/>
    <brk id="480" min="4" max="42" man="1"/>
    <brk id="720" min="4" max="42" man="1"/>
    <brk id="1223" min="4" max="42" man="1"/>
  </rowBreaks>
</worksheet>
</file>

<file path=xl/worksheets/sheet2.xml><?xml version="1.0" encoding="utf-8"?>
<worksheet xmlns="http://schemas.openxmlformats.org/spreadsheetml/2006/main" xmlns:r="http://schemas.openxmlformats.org/officeDocument/2006/relationships">
  <dimension ref="A1:AI119"/>
  <sheetViews>
    <sheetView topLeftCell="A66" zoomScale="150" workbookViewId="0">
      <pane xSplit="1" topLeftCell="P1" activePane="topRight" state="frozen"/>
      <selection pane="topRight" activeCell="Y62" sqref="Y62"/>
    </sheetView>
  </sheetViews>
  <sheetFormatPr defaultColWidth="11.42578125" defaultRowHeight="15"/>
  <cols>
    <col min="1" max="1" width="10.85546875" style="165"/>
    <col min="2" max="2" width="19.28515625" style="166" customWidth="1"/>
    <col min="3" max="3" width="12.7109375" style="166" customWidth="1"/>
    <col min="4" max="4" width="15" style="166" customWidth="1"/>
    <col min="5" max="6" width="11.7109375" style="166" bestFit="1" customWidth="1"/>
    <col min="7" max="7" width="11.85546875" style="166" bestFit="1" customWidth="1"/>
    <col min="8" max="8" width="11" style="166" bestFit="1" customWidth="1"/>
    <col min="9" max="9" width="11.42578125" style="166"/>
    <col min="10" max="10" width="12.28515625" style="166" bestFit="1" customWidth="1"/>
    <col min="11" max="11" width="11.42578125" style="166"/>
    <col min="12" max="12" width="14.7109375" style="166" customWidth="1"/>
    <col min="13" max="14" width="13.140625" style="166" bestFit="1" customWidth="1"/>
    <col min="15" max="15" width="11.42578125" style="166"/>
    <col min="16" max="16" width="13.7109375" style="166" bestFit="1" customWidth="1"/>
    <col min="17" max="17" width="11.140625" style="166" bestFit="1" customWidth="1"/>
    <col min="18" max="18" width="15.7109375" style="166" bestFit="1" customWidth="1"/>
    <col min="19" max="19" width="20.85546875" style="166" bestFit="1" customWidth="1"/>
    <col min="20" max="20" width="12.140625" style="166" bestFit="1" customWidth="1"/>
    <col min="21" max="21" width="14.42578125" style="166" customWidth="1"/>
    <col min="22" max="22" width="13.140625" style="166" bestFit="1" customWidth="1"/>
    <col min="23" max="16384" width="11.42578125" style="166"/>
  </cols>
  <sheetData>
    <row r="1" spans="1:35">
      <c r="H1" s="191"/>
      <c r="Y1" s="522"/>
      <c r="Z1" s="522"/>
      <c r="AA1" s="522"/>
      <c r="AB1" s="522"/>
      <c r="AC1" s="522"/>
      <c r="AD1" s="522"/>
      <c r="AE1" s="522"/>
      <c r="AF1" s="522"/>
      <c r="AG1" s="522"/>
      <c r="AH1" s="522"/>
      <c r="AI1" s="522"/>
    </row>
    <row r="2" spans="1:35" ht="48.75">
      <c r="A2" s="418" t="s">
        <v>468</v>
      </c>
      <c r="B2" s="419"/>
      <c r="C2" s="418"/>
      <c r="D2" s="418"/>
      <c r="E2" s="418"/>
      <c r="F2" s="418"/>
      <c r="G2" s="420">
        <f>G8+G9+G10</f>
        <v>171992.2</v>
      </c>
      <c r="H2" s="418"/>
      <c r="Y2" s="522"/>
      <c r="Z2" s="523"/>
      <c r="AA2" s="523"/>
      <c r="AB2" s="523"/>
      <c r="AC2" s="523"/>
      <c r="AD2" s="523"/>
      <c r="AE2" s="523"/>
      <c r="AF2" s="523"/>
      <c r="AG2" s="523"/>
      <c r="AH2" s="522"/>
      <c r="AI2" s="522"/>
    </row>
    <row r="3" spans="1:35" ht="15.75">
      <c r="A3" s="421" t="s">
        <v>489</v>
      </c>
      <c r="B3" s="422"/>
      <c r="C3" s="422"/>
      <c r="D3" s="422"/>
      <c r="E3" s="422"/>
      <c r="F3" s="422"/>
      <c r="G3" s="422"/>
      <c r="H3" s="422"/>
      <c r="Y3" s="522"/>
      <c r="Z3" s="524"/>
      <c r="AA3" s="524"/>
      <c r="AB3" s="524"/>
      <c r="AC3" s="524"/>
      <c r="AD3" s="524"/>
      <c r="AE3" s="524"/>
      <c r="AF3" s="524"/>
      <c r="AG3" s="524"/>
      <c r="AH3" s="522"/>
      <c r="AI3" s="522"/>
    </row>
    <row r="4" spans="1:35" ht="16.5" thickBot="1">
      <c r="A4" s="421" t="s">
        <v>490</v>
      </c>
      <c r="B4" s="422"/>
      <c r="C4" s="422"/>
      <c r="D4" s="422"/>
      <c r="E4" s="422"/>
      <c r="F4" s="422"/>
      <c r="G4" s="422"/>
      <c r="H4" s="422"/>
      <c r="I4" s="166" t="s">
        <v>1234</v>
      </c>
      <c r="T4" s="166">
        <v>2020</v>
      </c>
      <c r="Y4" s="522"/>
      <c r="Z4" s="525"/>
      <c r="AA4" s="526"/>
      <c r="AB4" s="527"/>
      <c r="AC4" s="528"/>
      <c r="AD4" s="527"/>
      <c r="AE4" s="528"/>
      <c r="AF4" s="527"/>
      <c r="AG4" s="528"/>
      <c r="AH4" s="522"/>
      <c r="AI4" s="522"/>
    </row>
    <row r="5" spans="1:35" ht="32.1" customHeight="1">
      <c r="A5" s="423" t="s">
        <v>491</v>
      </c>
      <c r="B5" s="424"/>
      <c r="C5" s="425" t="s">
        <v>492</v>
      </c>
      <c r="D5" s="424"/>
      <c r="E5" s="425" t="s">
        <v>493</v>
      </c>
      <c r="F5" s="424"/>
      <c r="G5" s="425" t="s">
        <v>494</v>
      </c>
      <c r="H5" s="425"/>
      <c r="I5" s="181"/>
      <c r="J5" s="181"/>
      <c r="K5" s="765" t="s">
        <v>1387</v>
      </c>
      <c r="L5" s="771" t="s">
        <v>1392</v>
      </c>
      <c r="M5" s="765" t="s">
        <v>1393</v>
      </c>
      <c r="N5" s="765" t="s">
        <v>1395</v>
      </c>
      <c r="O5" s="764" t="s">
        <v>1397</v>
      </c>
      <c r="P5" s="766" t="s">
        <v>1405</v>
      </c>
      <c r="Q5" s="765" t="s">
        <v>1399</v>
      </c>
      <c r="R5" s="768" t="s">
        <v>1406</v>
      </c>
      <c r="S5" s="426" t="s">
        <v>1401</v>
      </c>
      <c r="T5" s="181"/>
      <c r="U5" s="182" t="s">
        <v>1395</v>
      </c>
      <c r="V5" s="181" t="s">
        <v>1397</v>
      </c>
      <c r="W5" s="182" t="s">
        <v>1579</v>
      </c>
      <c r="X5" s="181" t="s">
        <v>1580</v>
      </c>
      <c r="Y5" s="522"/>
      <c r="Z5" s="525"/>
      <c r="AA5" s="526"/>
      <c r="AB5" s="527"/>
      <c r="AC5" s="528"/>
      <c r="AD5" s="528"/>
      <c r="AE5" s="528"/>
      <c r="AF5" s="527"/>
      <c r="AG5" s="528"/>
      <c r="AH5" s="522"/>
      <c r="AI5" s="522"/>
    </row>
    <row r="6" spans="1:35" ht="15.75" thickBot="1">
      <c r="A6" s="427" t="s">
        <v>495</v>
      </c>
      <c r="B6" s="428" t="s">
        <v>496</v>
      </c>
      <c r="C6" s="429" t="s">
        <v>497</v>
      </c>
      <c r="D6" s="429" t="s">
        <v>498</v>
      </c>
      <c r="E6" s="429" t="s">
        <v>497</v>
      </c>
      <c r="F6" s="429" t="s">
        <v>498</v>
      </c>
      <c r="G6" s="429" t="s">
        <v>497</v>
      </c>
      <c r="H6" s="429" t="s">
        <v>498</v>
      </c>
      <c r="I6" s="181"/>
      <c r="J6" s="181"/>
      <c r="K6" s="765"/>
      <c r="L6" s="771"/>
      <c r="M6" s="765"/>
      <c r="N6" s="765"/>
      <c r="O6" s="764"/>
      <c r="P6" s="767"/>
      <c r="Q6" s="765"/>
      <c r="R6" s="769"/>
      <c r="S6" s="426"/>
      <c r="T6" s="181"/>
      <c r="U6" s="181"/>
      <c r="V6" s="181"/>
      <c r="W6" s="181"/>
      <c r="X6" s="181"/>
      <c r="Y6" s="522"/>
      <c r="Z6" s="525"/>
      <c r="AA6" s="526"/>
      <c r="AB6" s="527"/>
      <c r="AC6" s="528"/>
      <c r="AD6" s="527"/>
      <c r="AE6" s="528"/>
      <c r="AF6" s="527"/>
      <c r="AG6" s="528"/>
      <c r="AH6" s="522"/>
      <c r="AI6" s="522"/>
    </row>
    <row r="7" spans="1:35">
      <c r="A7" s="430" t="s">
        <v>499</v>
      </c>
      <c r="B7" s="431" t="s">
        <v>46</v>
      </c>
      <c r="C7" s="432">
        <v>128046.6</v>
      </c>
      <c r="D7" s="433" t="s">
        <v>500</v>
      </c>
      <c r="E7" s="433" t="s">
        <v>500</v>
      </c>
      <c r="F7" s="433" t="s">
        <v>500</v>
      </c>
      <c r="G7" s="432">
        <v>128046.6</v>
      </c>
      <c r="H7" s="434" t="s">
        <v>500</v>
      </c>
      <c r="I7" s="181" t="str">
        <f>АСС!F4</f>
        <v>A.10</v>
      </c>
      <c r="J7" s="435">
        <f>G7</f>
        <v>128046.6</v>
      </c>
      <c r="K7" s="181"/>
      <c r="L7" s="181"/>
      <c r="M7" s="181"/>
      <c r="N7" s="181"/>
      <c r="O7" s="181"/>
      <c r="P7" s="181"/>
      <c r="Q7" s="181"/>
      <c r="R7" s="181"/>
      <c r="S7" s="438">
        <f>J7</f>
        <v>128046.6</v>
      </c>
      <c r="T7" s="438"/>
      <c r="U7" s="438"/>
      <c r="V7" s="438"/>
      <c r="W7" s="438"/>
      <c r="X7" s="437"/>
      <c r="Y7" s="522"/>
      <c r="Z7" s="525"/>
      <c r="AA7" s="526"/>
      <c r="AB7" s="527"/>
      <c r="AC7" s="528"/>
      <c r="AD7" s="528"/>
      <c r="AE7" s="527"/>
      <c r="AF7" s="527"/>
      <c r="AG7" s="528"/>
      <c r="AH7" s="522"/>
      <c r="AI7" s="522"/>
    </row>
    <row r="8" spans="1:35" ht="15" customHeight="1">
      <c r="A8" s="430" t="s">
        <v>501</v>
      </c>
      <c r="B8" s="431" t="s">
        <v>177</v>
      </c>
      <c r="C8" s="432">
        <v>125256.6</v>
      </c>
      <c r="D8" s="433" t="s">
        <v>500</v>
      </c>
      <c r="E8" s="433" t="s">
        <v>500</v>
      </c>
      <c r="F8" s="433" t="s">
        <v>500</v>
      </c>
      <c r="G8" s="432">
        <v>125256.6</v>
      </c>
      <c r="H8" s="434" t="s">
        <v>500</v>
      </c>
      <c r="I8" s="181"/>
      <c r="J8" s="181"/>
      <c r="K8" s="181"/>
      <c r="L8" s="181"/>
      <c r="M8" s="181"/>
      <c r="N8" s="181"/>
      <c r="O8" s="181"/>
      <c r="P8" s="181"/>
      <c r="Q8" s="181"/>
      <c r="R8" s="181"/>
      <c r="S8" s="438"/>
      <c r="T8" s="493">
        <f>'ОСВ 2020'!G9</f>
        <v>125256.6</v>
      </c>
      <c r="U8" s="438"/>
      <c r="V8" s="438"/>
      <c r="W8" s="438"/>
      <c r="X8" s="437">
        <f>T8</f>
        <v>125256.6</v>
      </c>
      <c r="Y8" s="529">
        <f>X8+X9+X11+X16+X17</f>
        <v>27391.600000000006</v>
      </c>
      <c r="Z8" s="525"/>
      <c r="AA8" s="526"/>
      <c r="AB8" s="527"/>
      <c r="AC8" s="528"/>
      <c r="AD8" s="528"/>
      <c r="AE8" s="527"/>
      <c r="AF8" s="527"/>
      <c r="AG8" s="528"/>
      <c r="AH8" s="522"/>
      <c r="AI8" s="522"/>
    </row>
    <row r="9" spans="1:35" ht="15" customHeight="1">
      <c r="A9" s="430" t="s">
        <v>502</v>
      </c>
      <c r="B9" s="431" t="s">
        <v>503</v>
      </c>
      <c r="C9" s="432">
        <v>2790</v>
      </c>
      <c r="D9" s="433" t="s">
        <v>500</v>
      </c>
      <c r="E9" s="433" t="s">
        <v>500</v>
      </c>
      <c r="F9" s="433" t="s">
        <v>500</v>
      </c>
      <c r="G9" s="432">
        <v>2790</v>
      </c>
      <c r="H9" s="434" t="s">
        <v>500</v>
      </c>
      <c r="I9" s="181"/>
      <c r="J9" s="181"/>
      <c r="K9" s="181"/>
      <c r="L9" s="181"/>
      <c r="M9" s="181"/>
      <c r="N9" s="181"/>
      <c r="O9" s="181"/>
      <c r="P9" s="181"/>
      <c r="Q9" s="181"/>
      <c r="R9" s="181"/>
      <c r="S9" s="438"/>
      <c r="T9" s="493">
        <f>'ОСВ 2020'!G10</f>
        <v>35660</v>
      </c>
      <c r="U9" s="438"/>
      <c r="V9" s="438"/>
      <c r="W9" s="438"/>
      <c r="X9" s="437">
        <f>T9+U9+V9+W9</f>
        <v>35660</v>
      </c>
      <c r="Y9" s="522"/>
      <c r="Z9" s="525"/>
      <c r="AA9" s="526"/>
      <c r="AB9" s="527"/>
      <c r="AC9" s="528"/>
      <c r="AD9" s="528"/>
      <c r="AE9" s="528"/>
      <c r="AF9" s="527"/>
      <c r="AG9" s="528"/>
      <c r="AH9" s="522"/>
      <c r="AI9" s="522"/>
    </row>
    <row r="10" spans="1:35" ht="30.95" customHeight="1">
      <c r="A10" s="430" t="s">
        <v>504</v>
      </c>
      <c r="B10" s="431" t="s">
        <v>505</v>
      </c>
      <c r="C10" s="432">
        <v>43645.599999999999</v>
      </c>
      <c r="D10" s="433" t="s">
        <v>500</v>
      </c>
      <c r="E10" s="432">
        <v>1480</v>
      </c>
      <c r="F10" s="432">
        <v>1180</v>
      </c>
      <c r="G10" s="432">
        <v>43945.599999999999</v>
      </c>
      <c r="H10" s="434" t="s">
        <v>500</v>
      </c>
      <c r="I10" s="181" t="str">
        <f>АСС!F15</f>
        <v>A.11</v>
      </c>
      <c r="J10" s="435">
        <f>G10</f>
        <v>43945.599999999999</v>
      </c>
      <c r="K10" s="181"/>
      <c r="L10" s="181"/>
      <c r="M10" s="181"/>
      <c r="N10" s="181"/>
      <c r="O10" s="181"/>
      <c r="P10" s="181"/>
      <c r="Q10" s="181"/>
      <c r="R10" s="181"/>
      <c r="S10" s="438">
        <f>J10</f>
        <v>43945.599999999999</v>
      </c>
      <c r="T10" s="438"/>
      <c r="U10" s="438"/>
      <c r="V10" s="438"/>
      <c r="W10" s="438"/>
      <c r="X10" s="437">
        <f t="shared" ref="X10:X73" si="0">T10+U10+V10+W10</f>
        <v>0</v>
      </c>
      <c r="Y10" s="522"/>
      <c r="Z10" s="525"/>
      <c r="AA10" s="526"/>
      <c r="AB10" s="527"/>
      <c r="AC10" s="528"/>
      <c r="AD10" s="528"/>
      <c r="AE10" s="528"/>
      <c r="AF10" s="527"/>
      <c r="AG10" s="528"/>
      <c r="AH10" s="522"/>
      <c r="AI10" s="522"/>
    </row>
    <row r="11" spans="1:35" ht="45">
      <c r="A11" s="430" t="s">
        <v>506</v>
      </c>
      <c r="B11" s="431" t="s">
        <v>507</v>
      </c>
      <c r="C11" s="432">
        <v>43645.599999999999</v>
      </c>
      <c r="D11" s="433" t="s">
        <v>500</v>
      </c>
      <c r="E11" s="432">
        <v>1480</v>
      </c>
      <c r="F11" s="432">
        <v>1180</v>
      </c>
      <c r="G11" s="432">
        <v>43945.599999999999</v>
      </c>
      <c r="H11" s="434" t="s">
        <v>500</v>
      </c>
      <c r="I11" s="181"/>
      <c r="J11" s="181"/>
      <c r="K11" s="181"/>
      <c r="L11" s="181"/>
      <c r="M11" s="181"/>
      <c r="N11" s="181"/>
      <c r="O11" s="181"/>
      <c r="P11" s="181"/>
      <c r="Q11" s="181"/>
      <c r="R11" s="181"/>
      <c r="S11" s="438"/>
      <c r="T11" s="493">
        <f>'ОСВ 2020'!G12</f>
        <v>41942.5</v>
      </c>
      <c r="U11" s="438"/>
      <c r="V11" s="438"/>
      <c r="W11" s="438"/>
      <c r="X11" s="437">
        <f t="shared" si="0"/>
        <v>41942.5</v>
      </c>
      <c r="Y11" s="522"/>
      <c r="Z11" s="525"/>
      <c r="AA11" s="526"/>
      <c r="AB11" s="527"/>
      <c r="AC11" s="528"/>
      <c r="AD11" s="528"/>
      <c r="AE11" s="528"/>
      <c r="AF11" s="527"/>
      <c r="AG11" s="528"/>
      <c r="AH11" s="522"/>
      <c r="AI11" s="522"/>
    </row>
    <row r="12" spans="1:35" ht="30">
      <c r="A12" s="430">
        <v>118</v>
      </c>
      <c r="B12" s="431" t="s">
        <v>1327</v>
      </c>
      <c r="C12" s="432"/>
      <c r="D12" s="433"/>
      <c r="E12" s="432"/>
      <c r="F12" s="432"/>
      <c r="G12" s="432"/>
      <c r="H12" s="434"/>
      <c r="I12" s="181" t="str">
        <f>АСС!F22</f>
        <v>A.117</v>
      </c>
      <c r="J12" s="181"/>
      <c r="K12" s="181"/>
      <c r="L12" s="437">
        <f>'Сводная ОА'!F16</f>
        <v>2546540.7008291902</v>
      </c>
      <c r="M12" s="181"/>
      <c r="N12" s="181"/>
      <c r="O12" s="181"/>
      <c r="P12" s="181"/>
      <c r="Q12" s="181"/>
      <c r="R12" s="181"/>
      <c r="S12" s="438">
        <f>L12</f>
        <v>2546540.7008291902</v>
      </c>
      <c r="T12" s="493">
        <f>'ОСВ 2020'!G13</f>
        <v>2546540.7000000002</v>
      </c>
      <c r="U12" s="438"/>
      <c r="V12" s="438"/>
      <c r="W12" s="438"/>
      <c r="X12" s="437">
        <f t="shared" si="0"/>
        <v>2546540.7000000002</v>
      </c>
      <c r="Y12" s="522"/>
      <c r="Z12" s="525"/>
      <c r="AA12" s="526"/>
      <c r="AB12" s="528"/>
      <c r="AC12" s="527"/>
      <c r="AD12" s="527"/>
      <c r="AE12" s="527"/>
      <c r="AF12" s="528"/>
      <c r="AG12" s="527"/>
      <c r="AH12" s="522"/>
      <c r="AI12" s="522"/>
    </row>
    <row r="13" spans="1:35" ht="30">
      <c r="A13" s="430" t="s">
        <v>508</v>
      </c>
      <c r="B13" s="431" t="s">
        <v>190</v>
      </c>
      <c r="C13" s="432">
        <v>2993.2</v>
      </c>
      <c r="D13" s="433" t="s">
        <v>500</v>
      </c>
      <c r="E13" s="433" t="s">
        <v>500</v>
      </c>
      <c r="F13" s="433" t="s">
        <v>500</v>
      </c>
      <c r="G13" s="432">
        <v>2993.2</v>
      </c>
      <c r="H13" s="434" t="s">
        <v>500</v>
      </c>
      <c r="I13" s="181" t="str">
        <f>АСС!F23</f>
        <v>A.12</v>
      </c>
      <c r="J13" s="435">
        <f>G13</f>
        <v>2993.2</v>
      </c>
      <c r="K13" s="181"/>
      <c r="L13" s="181"/>
      <c r="M13" s="181"/>
      <c r="N13" s="181"/>
      <c r="O13" s="181"/>
      <c r="P13" s="181"/>
      <c r="Q13" s="181"/>
      <c r="R13" s="181"/>
      <c r="S13" s="438">
        <f>J13</f>
        <v>2993.2</v>
      </c>
      <c r="T13" s="493">
        <f>'ОСВ 2020'!G14</f>
        <v>2993.2</v>
      </c>
      <c r="U13" s="438"/>
      <c r="V13" s="438"/>
      <c r="W13" s="438"/>
      <c r="X13" s="437">
        <f t="shared" si="0"/>
        <v>2993.2</v>
      </c>
      <c r="Y13" s="522"/>
      <c r="Z13" s="525"/>
      <c r="AA13" s="526"/>
      <c r="AB13" s="528"/>
      <c r="AC13" s="527"/>
      <c r="AD13" s="528"/>
      <c r="AE13" s="527"/>
      <c r="AF13" s="528"/>
      <c r="AG13" s="527"/>
      <c r="AH13" s="522"/>
      <c r="AI13" s="522"/>
    </row>
    <row r="14" spans="1:35" ht="30">
      <c r="A14" s="430" t="s">
        <v>509</v>
      </c>
      <c r="B14" s="431" t="s">
        <v>510</v>
      </c>
      <c r="C14" s="432">
        <v>2993.2</v>
      </c>
      <c r="D14" s="433" t="s">
        <v>500</v>
      </c>
      <c r="E14" s="433" t="s">
        <v>500</v>
      </c>
      <c r="F14" s="433" t="s">
        <v>500</v>
      </c>
      <c r="G14" s="432">
        <v>2993.2</v>
      </c>
      <c r="H14" s="434" t="s">
        <v>500</v>
      </c>
      <c r="I14" s="181"/>
      <c r="J14" s="181"/>
      <c r="K14" s="181"/>
      <c r="L14" s="181"/>
      <c r="M14" s="181"/>
      <c r="N14" s="181"/>
      <c r="O14" s="181"/>
      <c r="P14" s="181"/>
      <c r="Q14" s="181"/>
      <c r="R14" s="181"/>
      <c r="S14" s="438"/>
      <c r="T14" s="438"/>
      <c r="U14" s="438"/>
      <c r="V14" s="438"/>
      <c r="W14" s="438"/>
      <c r="X14" s="437">
        <f t="shared" si="0"/>
        <v>0</v>
      </c>
      <c r="Y14" s="522"/>
      <c r="Z14" s="525"/>
      <c r="AA14" s="526"/>
      <c r="AB14" s="528"/>
      <c r="AC14" s="527"/>
      <c r="AD14" s="527"/>
      <c r="AE14" s="527"/>
      <c r="AF14" s="528"/>
      <c r="AG14" s="527"/>
      <c r="AH14" s="522"/>
      <c r="AI14" s="522"/>
    </row>
    <row r="15" spans="1:35" ht="45">
      <c r="A15" s="430" t="s">
        <v>511</v>
      </c>
      <c r="B15" s="431" t="s">
        <v>512</v>
      </c>
      <c r="C15" s="433" t="s">
        <v>500</v>
      </c>
      <c r="D15" s="432">
        <v>174685.4</v>
      </c>
      <c r="E15" s="432">
        <v>1180</v>
      </c>
      <c r="F15" s="432">
        <v>1480</v>
      </c>
      <c r="G15" s="433" t="s">
        <v>500</v>
      </c>
      <c r="H15" s="439">
        <v>174985.4</v>
      </c>
      <c r="I15" s="181"/>
      <c r="J15" s="181"/>
      <c r="K15" s="181"/>
      <c r="L15" s="181"/>
      <c r="M15" s="181"/>
      <c r="N15" s="181"/>
      <c r="O15" s="181"/>
      <c r="P15" s="181"/>
      <c r="Q15" s="181"/>
      <c r="R15" s="181"/>
      <c r="S15" s="438"/>
      <c r="T15" s="438"/>
      <c r="U15" s="438"/>
      <c r="V15" s="438"/>
      <c r="W15" s="438"/>
      <c r="X15" s="437">
        <f t="shared" si="0"/>
        <v>0</v>
      </c>
      <c r="Y15" s="522"/>
      <c r="Z15" s="525"/>
      <c r="AA15" s="526"/>
      <c r="AB15" s="528"/>
      <c r="AC15" s="527"/>
      <c r="AD15" s="528"/>
      <c r="AE15" s="528"/>
      <c r="AF15" s="528"/>
      <c r="AG15" s="527"/>
      <c r="AH15" s="522"/>
      <c r="AI15" s="522"/>
    </row>
    <row r="16" spans="1:35" ht="30">
      <c r="A16" s="430" t="s">
        <v>513</v>
      </c>
      <c r="B16" s="431" t="s">
        <v>514</v>
      </c>
      <c r="C16" s="433" t="s">
        <v>500</v>
      </c>
      <c r="D16" s="432">
        <v>128046.6</v>
      </c>
      <c r="E16" s="433" t="s">
        <v>500</v>
      </c>
      <c r="F16" s="433" t="s">
        <v>500</v>
      </c>
      <c r="G16" s="433" t="s">
        <v>500</v>
      </c>
      <c r="H16" s="439">
        <v>128046.6</v>
      </c>
      <c r="I16" s="181" t="str">
        <f>АСС!F32</f>
        <v>A.131</v>
      </c>
      <c r="J16" s="435">
        <f>-H16</f>
        <v>-128046.6</v>
      </c>
      <c r="K16" s="181"/>
      <c r="L16" s="181"/>
      <c r="M16" s="181"/>
      <c r="N16" s="181"/>
      <c r="O16" s="181"/>
      <c r="P16" s="181"/>
      <c r="Q16" s="181"/>
      <c r="R16" s="181"/>
      <c r="S16" s="436">
        <f>J16</f>
        <v>-128046.6</v>
      </c>
      <c r="T16" s="494">
        <f>-'ОСВ 2020'!H17</f>
        <v>-133525</v>
      </c>
      <c r="U16" s="181"/>
      <c r="V16" s="181"/>
      <c r="W16" s="181"/>
      <c r="X16" s="437">
        <f t="shared" si="0"/>
        <v>-133525</v>
      </c>
      <c r="Y16" s="529"/>
      <c r="Z16" s="525"/>
      <c r="AA16" s="526"/>
      <c r="AB16" s="528"/>
      <c r="AC16" s="528"/>
      <c r="AD16" s="527"/>
      <c r="AE16" s="527"/>
      <c r="AF16" s="528"/>
      <c r="AG16" s="528"/>
      <c r="AH16" s="522"/>
      <c r="AI16" s="522"/>
    </row>
    <row r="17" spans="1:35" ht="60">
      <c r="A17" s="430" t="s">
        <v>515</v>
      </c>
      <c r="B17" s="431" t="s">
        <v>516</v>
      </c>
      <c r="C17" s="433" t="s">
        <v>500</v>
      </c>
      <c r="D17" s="432">
        <v>43645.599999999999</v>
      </c>
      <c r="E17" s="432">
        <v>1180</v>
      </c>
      <c r="F17" s="432">
        <v>1480</v>
      </c>
      <c r="G17" s="433" t="s">
        <v>500</v>
      </c>
      <c r="H17" s="439">
        <v>43945.599999999999</v>
      </c>
      <c r="I17" s="181" t="str">
        <f>АСС!F41</f>
        <v>A.132</v>
      </c>
      <c r="J17" s="435">
        <f>-'ОСВ в работу'!H17</f>
        <v>-43945.599999999999</v>
      </c>
      <c r="K17" s="181"/>
      <c r="L17" s="181"/>
      <c r="M17" s="181"/>
      <c r="N17" s="181"/>
      <c r="O17" s="181"/>
      <c r="P17" s="181"/>
      <c r="Q17" s="181"/>
      <c r="R17" s="181"/>
      <c r="S17" s="436">
        <f>J17</f>
        <v>-43945.599999999999</v>
      </c>
      <c r="T17" s="494">
        <f>-41942.5</f>
        <v>-41942.5</v>
      </c>
      <c r="U17" s="437"/>
      <c r="V17" s="181"/>
      <c r="W17" s="181"/>
      <c r="X17" s="437">
        <f t="shared" si="0"/>
        <v>-41942.5</v>
      </c>
      <c r="Y17" s="522"/>
      <c r="Z17" s="525"/>
      <c r="AA17" s="526"/>
      <c r="AB17" s="528"/>
      <c r="AC17" s="528"/>
      <c r="AD17" s="527"/>
      <c r="AE17" s="527"/>
      <c r="AF17" s="528"/>
      <c r="AG17" s="528"/>
      <c r="AH17" s="522"/>
      <c r="AI17" s="522"/>
    </row>
    <row r="18" spans="1:35" ht="45.95" customHeight="1">
      <c r="A18" s="430" t="s">
        <v>517</v>
      </c>
      <c r="B18" s="431" t="s">
        <v>518</v>
      </c>
      <c r="C18" s="433" t="s">
        <v>500</v>
      </c>
      <c r="D18" s="432">
        <v>2993.2</v>
      </c>
      <c r="E18" s="433" t="s">
        <v>500</v>
      </c>
      <c r="F18" s="433" t="s">
        <v>500</v>
      </c>
      <c r="G18" s="433" t="s">
        <v>500</v>
      </c>
      <c r="H18" s="439">
        <v>2993.2</v>
      </c>
      <c r="I18" s="181" t="str">
        <f>АСС!F42</f>
        <v>A.133</v>
      </c>
      <c r="J18" s="435">
        <f>-H18</f>
        <v>-2993.2</v>
      </c>
      <c r="K18" s="181"/>
      <c r="L18" s="181"/>
      <c r="M18" s="181"/>
      <c r="N18" s="181"/>
      <c r="O18" s="181"/>
      <c r="P18" s="181"/>
      <c r="Q18" s="181"/>
      <c r="R18" s="181"/>
      <c r="S18" s="436">
        <f>J18</f>
        <v>-2993.2</v>
      </c>
      <c r="T18" s="494">
        <f>-'ОСВ 2020'!H19</f>
        <v>-2993.2</v>
      </c>
      <c r="U18" s="181"/>
      <c r="V18" s="181"/>
      <c r="W18" s="181"/>
      <c r="X18" s="437">
        <f t="shared" si="0"/>
        <v>-2993.2</v>
      </c>
      <c r="Y18" s="522"/>
      <c r="Z18" s="525"/>
      <c r="AA18" s="526"/>
      <c r="AB18" s="528"/>
      <c r="AC18" s="528"/>
      <c r="AD18" s="527"/>
      <c r="AE18" s="527"/>
      <c r="AF18" s="528"/>
      <c r="AG18" s="528"/>
      <c r="AH18" s="522"/>
      <c r="AI18" s="522"/>
    </row>
    <row r="19" spans="1:35" ht="45.95" customHeight="1">
      <c r="A19" s="430">
        <v>138</v>
      </c>
      <c r="B19" s="431" t="s">
        <v>1396</v>
      </c>
      <c r="C19" s="433"/>
      <c r="D19" s="432"/>
      <c r="E19" s="433"/>
      <c r="F19" s="433"/>
      <c r="G19" s="433"/>
      <c r="H19" s="439"/>
      <c r="I19" s="181"/>
      <c r="J19" s="435"/>
      <c r="K19" s="181"/>
      <c r="L19" s="181"/>
      <c r="M19" s="181"/>
      <c r="N19" s="437">
        <f>-'Сводная ОА'!F24</f>
        <v>-753236.47212287562</v>
      </c>
      <c r="O19" s="181"/>
      <c r="P19" s="181"/>
      <c r="Q19" s="181"/>
      <c r="R19" s="181"/>
      <c r="S19" s="438">
        <f>N19</f>
        <v>-753236.47212287562</v>
      </c>
      <c r="T19" s="494">
        <f>-753236.47</f>
        <v>-753236.47</v>
      </c>
      <c r="U19" s="183">
        <f>-'Сводная ОА'!L11</f>
        <v>-981042.5641089757</v>
      </c>
      <c r="V19" s="181"/>
      <c r="W19" s="181"/>
      <c r="X19" s="437">
        <f>T19+U19+V19+W19</f>
        <v>-1734279.0341089757</v>
      </c>
      <c r="Y19" s="529">
        <f>X12+X19</f>
        <v>812261.66589102452</v>
      </c>
      <c r="Z19" s="525"/>
      <c r="AA19" s="526"/>
      <c r="AB19" s="528"/>
      <c r="AC19" s="528"/>
      <c r="AD19" s="528"/>
      <c r="AE19" s="528"/>
      <c r="AF19" s="528"/>
      <c r="AG19" s="528"/>
      <c r="AH19" s="522"/>
      <c r="AI19" s="522"/>
    </row>
    <row r="20" spans="1:35">
      <c r="A20" s="430" t="s">
        <v>519</v>
      </c>
      <c r="B20" s="431" t="s">
        <v>520</v>
      </c>
      <c r="C20" s="433" t="s">
        <v>500</v>
      </c>
      <c r="D20" s="433" t="s">
        <v>500</v>
      </c>
      <c r="E20" s="432">
        <v>1480</v>
      </c>
      <c r="F20" s="432">
        <v>1480</v>
      </c>
      <c r="G20" s="433" t="s">
        <v>500</v>
      </c>
      <c r="H20" s="434" t="s">
        <v>500</v>
      </c>
      <c r="I20" s="181"/>
      <c r="J20" s="181"/>
      <c r="K20" s="181"/>
      <c r="L20" s="181"/>
      <c r="M20" s="181"/>
      <c r="N20" s="181"/>
      <c r="O20" s="181"/>
      <c r="P20" s="181"/>
      <c r="Q20" s="181"/>
      <c r="R20" s="181"/>
      <c r="S20" s="426"/>
      <c r="T20" s="440"/>
      <c r="U20" s="181"/>
      <c r="V20" s="181"/>
      <c r="W20" s="181"/>
      <c r="X20" s="437">
        <f t="shared" si="0"/>
        <v>0</v>
      </c>
      <c r="Y20" s="522"/>
      <c r="Z20" s="525"/>
      <c r="AA20" s="526"/>
      <c r="AB20" s="528"/>
      <c r="AC20" s="528"/>
      <c r="AD20" s="528"/>
      <c r="AE20" s="528"/>
      <c r="AF20" s="528"/>
      <c r="AG20" s="528"/>
      <c r="AH20" s="522"/>
      <c r="AI20" s="522"/>
    </row>
    <row r="21" spans="1:35" ht="75">
      <c r="A21" s="430" t="s">
        <v>521</v>
      </c>
      <c r="B21" s="431" t="s">
        <v>522</v>
      </c>
      <c r="C21" s="433" t="s">
        <v>500</v>
      </c>
      <c r="D21" s="433" t="s">
        <v>500</v>
      </c>
      <c r="E21" s="432">
        <v>1480</v>
      </c>
      <c r="F21" s="432">
        <v>1480</v>
      </c>
      <c r="G21" s="433" t="s">
        <v>500</v>
      </c>
      <c r="H21" s="434" t="s">
        <v>500</v>
      </c>
      <c r="I21" s="181"/>
      <c r="J21" s="181"/>
      <c r="K21" s="181"/>
      <c r="L21" s="181"/>
      <c r="M21" s="181"/>
      <c r="N21" s="181"/>
      <c r="O21" s="181"/>
      <c r="P21" s="181"/>
      <c r="Q21" s="181"/>
      <c r="R21" s="181"/>
      <c r="S21" s="426"/>
      <c r="T21" s="181"/>
      <c r="U21" s="181"/>
      <c r="V21" s="181"/>
      <c r="W21" s="181"/>
      <c r="X21" s="437">
        <f t="shared" si="0"/>
        <v>0</v>
      </c>
      <c r="Y21" s="522"/>
      <c r="Z21" s="525"/>
      <c r="AA21" s="526"/>
      <c r="AB21" s="528"/>
      <c r="AC21" s="528"/>
      <c r="AD21" s="528"/>
      <c r="AE21" s="528"/>
      <c r="AF21" s="528"/>
      <c r="AG21" s="528"/>
      <c r="AH21" s="522"/>
      <c r="AI21" s="522"/>
    </row>
    <row r="22" spans="1:35" ht="60">
      <c r="A22" s="430" t="s">
        <v>523</v>
      </c>
      <c r="B22" s="431" t="s">
        <v>524</v>
      </c>
      <c r="C22" s="433" t="s">
        <v>500</v>
      </c>
      <c r="D22" s="433" t="s">
        <v>500</v>
      </c>
      <c r="E22" s="432">
        <v>1480</v>
      </c>
      <c r="F22" s="432">
        <v>1480</v>
      </c>
      <c r="G22" s="433" t="s">
        <v>500</v>
      </c>
      <c r="H22" s="434" t="s">
        <v>500</v>
      </c>
      <c r="I22" s="181"/>
      <c r="J22" s="181"/>
      <c r="K22" s="181"/>
      <c r="L22" s="181"/>
      <c r="M22" s="181"/>
      <c r="N22" s="181"/>
      <c r="O22" s="181"/>
      <c r="P22" s="181"/>
      <c r="Q22" s="181"/>
      <c r="R22" s="181"/>
      <c r="S22" s="426"/>
      <c r="T22" s="181"/>
      <c r="U22" s="181"/>
      <c r="V22" s="181"/>
      <c r="W22" s="181"/>
      <c r="X22" s="437">
        <f t="shared" si="0"/>
        <v>0</v>
      </c>
      <c r="Y22" s="522"/>
      <c r="Z22" s="525"/>
      <c r="AA22" s="526"/>
      <c r="AB22" s="528"/>
      <c r="AC22" s="528"/>
      <c r="AD22" s="528"/>
      <c r="AE22" s="528"/>
      <c r="AF22" s="528"/>
      <c r="AG22" s="528"/>
      <c r="AH22" s="522"/>
      <c r="AI22" s="522"/>
    </row>
    <row r="23" spans="1:35" ht="32.1" customHeight="1">
      <c r="A23" s="430" t="s">
        <v>525</v>
      </c>
      <c r="B23" s="431" t="s">
        <v>526</v>
      </c>
      <c r="C23" s="433" t="s">
        <v>500</v>
      </c>
      <c r="D23" s="433" t="s">
        <v>500</v>
      </c>
      <c r="E23" s="433" t="s">
        <v>500</v>
      </c>
      <c r="F23" s="433" t="s">
        <v>500</v>
      </c>
      <c r="G23" s="433" t="s">
        <v>500</v>
      </c>
      <c r="H23" s="434" t="s">
        <v>500</v>
      </c>
      <c r="I23" s="181"/>
      <c r="J23" s="181"/>
      <c r="K23" s="181"/>
      <c r="L23" s="181"/>
      <c r="M23" s="181"/>
      <c r="N23" s="181"/>
      <c r="O23" s="181"/>
      <c r="P23" s="181"/>
      <c r="Q23" s="181"/>
      <c r="R23" s="181"/>
      <c r="S23" s="426"/>
      <c r="T23" s="181"/>
      <c r="U23" s="181"/>
      <c r="V23" s="181"/>
      <c r="W23" s="181"/>
      <c r="X23" s="437">
        <f t="shared" si="0"/>
        <v>0</v>
      </c>
      <c r="Y23" s="522"/>
      <c r="Z23" s="525"/>
      <c r="AA23" s="526"/>
      <c r="AB23" s="528"/>
      <c r="AC23" s="528"/>
      <c r="AD23" s="527"/>
      <c r="AE23" s="527"/>
      <c r="AF23" s="528"/>
      <c r="AG23" s="528"/>
      <c r="AH23" s="522"/>
      <c r="AI23" s="522"/>
    </row>
    <row r="24" spans="1:35" ht="32.1" customHeight="1">
      <c r="A24" s="430" t="s">
        <v>527</v>
      </c>
      <c r="B24" s="431" t="s">
        <v>528</v>
      </c>
      <c r="C24" s="433" t="s">
        <v>500</v>
      </c>
      <c r="D24" s="433" t="s">
        <v>500</v>
      </c>
      <c r="E24" s="433" t="s">
        <v>500</v>
      </c>
      <c r="F24" s="433" t="s">
        <v>500</v>
      </c>
      <c r="G24" s="433" t="s">
        <v>500</v>
      </c>
      <c r="H24" s="434" t="s">
        <v>500</v>
      </c>
      <c r="I24" s="181"/>
      <c r="J24" s="181"/>
      <c r="K24" s="181"/>
      <c r="L24" s="181"/>
      <c r="M24" s="181"/>
      <c r="N24" s="181"/>
      <c r="O24" s="181"/>
      <c r="P24" s="181"/>
      <c r="Q24" s="181"/>
      <c r="R24" s="181"/>
      <c r="S24" s="426"/>
      <c r="T24" s="181"/>
      <c r="U24" s="181"/>
      <c r="V24" s="181"/>
      <c r="W24" s="181"/>
      <c r="X24" s="437">
        <f t="shared" si="0"/>
        <v>0</v>
      </c>
      <c r="Y24" s="522"/>
      <c r="Z24" s="525"/>
      <c r="AA24" s="526"/>
      <c r="AB24" s="528"/>
      <c r="AC24" s="528"/>
      <c r="AD24" s="527"/>
      <c r="AE24" s="527"/>
      <c r="AF24" s="528"/>
      <c r="AG24" s="528"/>
      <c r="AH24" s="522"/>
      <c r="AI24" s="522"/>
    </row>
    <row r="25" spans="1:35" ht="32.1" customHeight="1">
      <c r="A25" s="430">
        <v>201</v>
      </c>
      <c r="B25" s="431"/>
      <c r="C25" s="433"/>
      <c r="D25" s="433"/>
      <c r="E25" s="433"/>
      <c r="F25" s="433"/>
      <c r="G25" s="433"/>
      <c r="H25" s="434"/>
      <c r="I25" s="181"/>
      <c r="J25" s="181"/>
      <c r="K25" s="181"/>
      <c r="L25" s="181"/>
      <c r="M25" s="181"/>
      <c r="N25" s="181"/>
      <c r="O25" s="181"/>
      <c r="P25" s="181"/>
      <c r="Q25" s="181"/>
      <c r="R25" s="181"/>
      <c r="S25" s="426"/>
      <c r="T25" s="181"/>
      <c r="U25" s="181"/>
      <c r="V25" s="181"/>
      <c r="W25" s="181"/>
      <c r="X25" s="437">
        <f t="shared" si="0"/>
        <v>0</v>
      </c>
      <c r="Y25" s="522"/>
      <c r="Z25" s="525"/>
      <c r="AA25" s="526"/>
      <c r="AB25" s="528"/>
      <c r="AC25" s="528"/>
      <c r="AD25" s="527"/>
      <c r="AE25" s="527"/>
      <c r="AF25" s="528"/>
      <c r="AG25" s="528"/>
      <c r="AH25" s="522"/>
      <c r="AI25" s="522"/>
    </row>
    <row r="26" spans="1:35" ht="45">
      <c r="A26" s="430" t="s">
        <v>529</v>
      </c>
      <c r="B26" s="431" t="s">
        <v>530</v>
      </c>
      <c r="C26" s="433" t="s">
        <v>500</v>
      </c>
      <c r="D26" s="433" t="s">
        <v>500</v>
      </c>
      <c r="E26" s="432">
        <v>38291.75</v>
      </c>
      <c r="F26" s="432">
        <v>38291.75</v>
      </c>
      <c r="G26" s="433" t="s">
        <v>500</v>
      </c>
      <c r="H26" s="434" t="s">
        <v>500</v>
      </c>
      <c r="I26" s="181"/>
      <c r="J26" s="181"/>
      <c r="K26" s="181"/>
      <c r="L26" s="181"/>
      <c r="M26" s="181"/>
      <c r="N26" s="181"/>
      <c r="O26" s="181"/>
      <c r="P26" s="181"/>
      <c r="Q26" s="181"/>
      <c r="R26" s="181"/>
      <c r="S26" s="426"/>
      <c r="T26" s="181"/>
      <c r="U26" s="181"/>
      <c r="V26" s="181"/>
      <c r="W26" s="181"/>
      <c r="X26" s="437">
        <f t="shared" si="0"/>
        <v>0</v>
      </c>
      <c r="Y26" s="522"/>
      <c r="Z26" s="525"/>
      <c r="AA26" s="526"/>
      <c r="AB26" s="528"/>
      <c r="AC26" s="528"/>
      <c r="AD26" s="527"/>
      <c r="AE26" s="527"/>
      <c r="AF26" s="528"/>
      <c r="AG26" s="528"/>
      <c r="AH26" s="522"/>
      <c r="AI26" s="522"/>
    </row>
    <row r="27" spans="1:35">
      <c r="A27" s="430" t="s">
        <v>531</v>
      </c>
      <c r="B27" s="431" t="s">
        <v>532</v>
      </c>
      <c r="C27" s="433" t="s">
        <v>500</v>
      </c>
      <c r="D27" s="433" t="s">
        <v>500</v>
      </c>
      <c r="E27" s="432">
        <v>24323.8</v>
      </c>
      <c r="F27" s="432">
        <v>24323.8</v>
      </c>
      <c r="G27" s="433" t="s">
        <v>500</v>
      </c>
      <c r="H27" s="434" t="s">
        <v>500</v>
      </c>
      <c r="I27" s="181"/>
      <c r="J27" s="181"/>
      <c r="K27" s="181"/>
      <c r="L27" s="181"/>
      <c r="M27" s="181"/>
      <c r="N27" s="181"/>
      <c r="O27" s="181"/>
      <c r="P27" s="181"/>
      <c r="Q27" s="181"/>
      <c r="R27" s="181"/>
      <c r="S27" s="426"/>
      <c r="T27" s="181"/>
      <c r="U27" s="181"/>
      <c r="V27" s="181"/>
      <c r="W27" s="181"/>
      <c r="X27" s="437">
        <f t="shared" si="0"/>
        <v>0</v>
      </c>
      <c r="Y27" s="522"/>
      <c r="Z27" s="525"/>
      <c r="AA27" s="526"/>
      <c r="AB27" s="528"/>
      <c r="AC27" s="528"/>
      <c r="AD27" s="527"/>
      <c r="AE27" s="527"/>
      <c r="AF27" s="528"/>
      <c r="AG27" s="528"/>
      <c r="AH27" s="522"/>
      <c r="AI27" s="522"/>
    </row>
    <row r="28" spans="1:35">
      <c r="A28" s="430" t="s">
        <v>533</v>
      </c>
      <c r="B28" s="431" t="s">
        <v>534</v>
      </c>
      <c r="C28" s="433" t="s">
        <v>500</v>
      </c>
      <c r="D28" s="433" t="s">
        <v>500</v>
      </c>
      <c r="E28" s="432">
        <v>24323.8</v>
      </c>
      <c r="F28" s="432">
        <v>24323.8</v>
      </c>
      <c r="G28" s="433" t="s">
        <v>500</v>
      </c>
      <c r="H28" s="434" t="s">
        <v>500</v>
      </c>
      <c r="I28" s="181"/>
      <c r="J28" s="181"/>
      <c r="K28" s="181"/>
      <c r="L28" s="181"/>
      <c r="M28" s="181"/>
      <c r="N28" s="181"/>
      <c r="O28" s="181"/>
      <c r="P28" s="181"/>
      <c r="Q28" s="181"/>
      <c r="R28" s="181"/>
      <c r="S28" s="426"/>
      <c r="T28" s="181"/>
      <c r="U28" s="181"/>
      <c r="V28" s="181"/>
      <c r="W28" s="181"/>
      <c r="X28" s="437">
        <f t="shared" si="0"/>
        <v>0</v>
      </c>
      <c r="Y28" s="522"/>
      <c r="Z28" s="525"/>
      <c r="AA28" s="526"/>
      <c r="AB28" s="527"/>
      <c r="AC28" s="528"/>
      <c r="AD28" s="527"/>
      <c r="AE28" s="527"/>
      <c r="AF28" s="527"/>
      <c r="AG28" s="528"/>
      <c r="AH28" s="522"/>
      <c r="AI28" s="522"/>
    </row>
    <row r="29" spans="1:35">
      <c r="A29" s="430" t="s">
        <v>535</v>
      </c>
      <c r="B29" s="431" t="s">
        <v>536</v>
      </c>
      <c r="C29" s="432">
        <v>89835.12</v>
      </c>
      <c r="D29" s="433" t="s">
        <v>500</v>
      </c>
      <c r="E29" s="432">
        <v>35116254.450000003</v>
      </c>
      <c r="F29" s="432">
        <v>35074235.57</v>
      </c>
      <c r="G29" s="432">
        <v>131854</v>
      </c>
      <c r="H29" s="434" t="s">
        <v>500</v>
      </c>
      <c r="I29" s="181" t="str">
        <f>АСС!F103</f>
        <v>A.30</v>
      </c>
      <c r="J29" s="435">
        <f>G29</f>
        <v>131854</v>
      </c>
      <c r="K29" s="181"/>
      <c r="L29" s="181"/>
      <c r="M29" s="181"/>
      <c r="N29" s="181"/>
      <c r="O29" s="181"/>
      <c r="P29" s="181"/>
      <c r="Q29" s="181"/>
      <c r="R29" s="181"/>
      <c r="S29" s="436">
        <f>J29</f>
        <v>131854</v>
      </c>
      <c r="T29" s="181">
        <f>'ОСВ 2020'!G32</f>
        <v>146279.97</v>
      </c>
      <c r="U29" s="440"/>
      <c r="V29" s="181"/>
      <c r="W29" s="181"/>
      <c r="X29" s="437">
        <f t="shared" si="0"/>
        <v>146279.97</v>
      </c>
      <c r="Y29" s="529">
        <f>X29+X31</f>
        <v>170143.68</v>
      </c>
      <c r="Z29" s="525"/>
      <c r="AA29" s="526"/>
      <c r="AB29" s="527"/>
      <c r="AC29" s="528"/>
      <c r="AD29" s="527"/>
      <c r="AE29" s="527"/>
      <c r="AF29" s="527"/>
      <c r="AG29" s="528"/>
      <c r="AH29" s="522"/>
      <c r="AI29" s="522"/>
    </row>
    <row r="30" spans="1:35" ht="30">
      <c r="A30" s="430" t="s">
        <v>537</v>
      </c>
      <c r="B30" s="431" t="s">
        <v>538</v>
      </c>
      <c r="C30" s="432">
        <v>89835.12</v>
      </c>
      <c r="D30" s="433" t="s">
        <v>500</v>
      </c>
      <c r="E30" s="432">
        <v>35116254.450000003</v>
      </c>
      <c r="F30" s="432">
        <v>35074235.57</v>
      </c>
      <c r="G30" s="432">
        <v>131854</v>
      </c>
      <c r="H30" s="434" t="s">
        <v>500</v>
      </c>
      <c r="I30" s="181"/>
      <c r="J30" s="181"/>
      <c r="K30" s="181"/>
      <c r="L30" s="181"/>
      <c r="M30" s="181"/>
      <c r="N30" s="181"/>
      <c r="O30" s="181"/>
      <c r="P30" s="181"/>
      <c r="Q30" s="181"/>
      <c r="R30" s="181"/>
      <c r="S30" s="426"/>
      <c r="T30" s="181"/>
      <c r="U30" s="181"/>
      <c r="V30" s="181"/>
      <c r="W30" s="181"/>
      <c r="X30" s="437">
        <f t="shared" si="0"/>
        <v>0</v>
      </c>
      <c r="Y30" s="522"/>
      <c r="Z30" s="525"/>
      <c r="AA30" s="526"/>
      <c r="AB30" s="527"/>
      <c r="AC30" s="528"/>
      <c r="AD30" s="527"/>
      <c r="AE30" s="527"/>
      <c r="AF30" s="527"/>
      <c r="AG30" s="528"/>
      <c r="AH30" s="522"/>
      <c r="AI30" s="522"/>
    </row>
    <row r="31" spans="1:35">
      <c r="A31" s="430" t="s">
        <v>539</v>
      </c>
      <c r="B31" s="431" t="s">
        <v>540</v>
      </c>
      <c r="C31" s="441">
        <v>63.66</v>
      </c>
      <c r="D31" s="433" t="s">
        <v>500</v>
      </c>
      <c r="E31" s="432">
        <v>1620359.02</v>
      </c>
      <c r="F31" s="432">
        <v>1615314.51</v>
      </c>
      <c r="G31" s="432">
        <v>5108.17</v>
      </c>
      <c r="H31" s="434" t="s">
        <v>500</v>
      </c>
      <c r="I31" s="181" t="str">
        <f>АСС!F109</f>
        <v>A.31</v>
      </c>
      <c r="J31" s="435">
        <f>G31</f>
        <v>5108.17</v>
      </c>
      <c r="K31" s="181"/>
      <c r="L31" s="181"/>
      <c r="M31" s="181"/>
      <c r="N31" s="181"/>
      <c r="O31" s="181"/>
      <c r="P31" s="181"/>
      <c r="Q31" s="181"/>
      <c r="R31" s="181"/>
      <c r="S31" s="436">
        <f>J31</f>
        <v>5108.17</v>
      </c>
      <c r="T31" s="181">
        <f>'ОСВ 2020'!G34</f>
        <v>23863.71</v>
      </c>
      <c r="U31" s="181"/>
      <c r="V31" s="181"/>
      <c r="W31" s="181"/>
      <c r="X31" s="437">
        <f t="shared" si="0"/>
        <v>23863.71</v>
      </c>
      <c r="Y31" s="522"/>
      <c r="Z31" s="525"/>
      <c r="AA31" s="526"/>
      <c r="AB31" s="527"/>
      <c r="AC31" s="528"/>
      <c r="AD31" s="527"/>
      <c r="AE31" s="527"/>
      <c r="AF31" s="527"/>
      <c r="AG31" s="528"/>
      <c r="AH31" s="522"/>
      <c r="AI31" s="522"/>
    </row>
    <row r="32" spans="1:35" ht="30">
      <c r="A32" s="430" t="s">
        <v>541</v>
      </c>
      <c r="B32" s="431" t="s">
        <v>542</v>
      </c>
      <c r="C32" s="441">
        <v>63.66</v>
      </c>
      <c r="D32" s="433" t="s">
        <v>500</v>
      </c>
      <c r="E32" s="432">
        <v>1620359.02</v>
      </c>
      <c r="F32" s="432">
        <v>1615314.51</v>
      </c>
      <c r="G32" s="432">
        <v>5108.17</v>
      </c>
      <c r="H32" s="434" t="s">
        <v>500</v>
      </c>
      <c r="I32" s="181"/>
      <c r="J32" s="181"/>
      <c r="K32" s="181"/>
      <c r="L32" s="181"/>
      <c r="M32" s="181"/>
      <c r="N32" s="181"/>
      <c r="O32" s="181"/>
      <c r="P32" s="181"/>
      <c r="Q32" s="181"/>
      <c r="R32" s="181"/>
      <c r="S32" s="426"/>
      <c r="T32" s="181"/>
      <c r="U32" s="181"/>
      <c r="V32" s="181"/>
      <c r="W32" s="181"/>
      <c r="X32" s="437">
        <f t="shared" si="0"/>
        <v>0</v>
      </c>
      <c r="Y32" s="522"/>
      <c r="Z32" s="525"/>
      <c r="AA32" s="526"/>
      <c r="AB32" s="528"/>
      <c r="AC32" s="528"/>
      <c r="AD32" s="527"/>
      <c r="AE32" s="527"/>
      <c r="AF32" s="528"/>
      <c r="AG32" s="528"/>
      <c r="AH32" s="522"/>
      <c r="AI32" s="522"/>
    </row>
    <row r="33" spans="1:35">
      <c r="A33" s="430" t="s">
        <v>543</v>
      </c>
      <c r="B33" s="431" t="s">
        <v>544</v>
      </c>
      <c r="C33" s="433" t="s">
        <v>500</v>
      </c>
      <c r="D33" s="433" t="s">
        <v>500</v>
      </c>
      <c r="E33" s="432">
        <v>17312330.859999999</v>
      </c>
      <c r="F33" s="432">
        <v>17312330.859999999</v>
      </c>
      <c r="G33" s="433" t="s">
        <v>500</v>
      </c>
      <c r="H33" s="434" t="s">
        <v>500</v>
      </c>
      <c r="I33" s="181"/>
      <c r="J33" s="181"/>
      <c r="K33" s="181"/>
      <c r="L33" s="181"/>
      <c r="M33" s="181"/>
      <c r="N33" s="181"/>
      <c r="O33" s="181"/>
      <c r="P33" s="181"/>
      <c r="Q33" s="181"/>
      <c r="R33" s="181"/>
      <c r="S33" s="426"/>
      <c r="T33" s="181"/>
      <c r="U33" s="181"/>
      <c r="V33" s="181"/>
      <c r="W33" s="181"/>
      <c r="X33" s="437">
        <f t="shared" si="0"/>
        <v>0</v>
      </c>
      <c r="Y33" s="522"/>
      <c r="Z33" s="525"/>
      <c r="AA33" s="526"/>
      <c r="AB33" s="528"/>
      <c r="AC33" s="528"/>
      <c r="AD33" s="527"/>
      <c r="AE33" s="527"/>
      <c r="AF33" s="528"/>
      <c r="AG33" s="528"/>
      <c r="AH33" s="522"/>
      <c r="AI33" s="522"/>
    </row>
    <row r="34" spans="1:35" ht="33.950000000000003" customHeight="1">
      <c r="A34" s="430" t="s">
        <v>545</v>
      </c>
      <c r="B34" s="431" t="s">
        <v>546</v>
      </c>
      <c r="C34" s="433" t="s">
        <v>500</v>
      </c>
      <c r="D34" s="433" t="s">
        <v>500</v>
      </c>
      <c r="E34" s="432">
        <v>17312330.859999999</v>
      </c>
      <c r="F34" s="432">
        <v>17312330.859999999</v>
      </c>
      <c r="G34" s="433" t="s">
        <v>500</v>
      </c>
      <c r="H34" s="434" t="s">
        <v>500</v>
      </c>
      <c r="I34" s="181"/>
      <c r="J34" s="181"/>
      <c r="K34" s="181"/>
      <c r="L34" s="181"/>
      <c r="M34" s="181"/>
      <c r="N34" s="181"/>
      <c r="O34" s="181"/>
      <c r="P34" s="181"/>
      <c r="Q34" s="181"/>
      <c r="R34" s="181"/>
      <c r="S34" s="426"/>
      <c r="T34" s="181"/>
      <c r="U34" s="181"/>
      <c r="V34" s="181"/>
      <c r="W34" s="181"/>
      <c r="X34" s="437">
        <f t="shared" si="0"/>
        <v>0</v>
      </c>
      <c r="Y34" s="522"/>
      <c r="Z34" s="525"/>
      <c r="AA34" s="526"/>
      <c r="AB34" s="528"/>
      <c r="AC34" s="528"/>
      <c r="AD34" s="527"/>
      <c r="AE34" s="527"/>
      <c r="AF34" s="528"/>
      <c r="AG34" s="528"/>
      <c r="AH34" s="522"/>
      <c r="AI34" s="522"/>
    </row>
    <row r="35" spans="1:35" ht="36.950000000000003" customHeight="1">
      <c r="A35" s="430" t="s">
        <v>547</v>
      </c>
      <c r="B35" s="431" t="s">
        <v>548</v>
      </c>
      <c r="C35" s="433" t="s">
        <v>500</v>
      </c>
      <c r="D35" s="433" t="s">
        <v>500</v>
      </c>
      <c r="E35" s="432">
        <v>19680.02</v>
      </c>
      <c r="F35" s="432">
        <v>19680.02</v>
      </c>
      <c r="G35" s="433" t="s">
        <v>500</v>
      </c>
      <c r="H35" s="434" t="s">
        <v>500</v>
      </c>
      <c r="I35" s="181"/>
      <c r="J35" s="181"/>
      <c r="K35" s="181"/>
      <c r="L35" s="181"/>
      <c r="M35" s="181"/>
      <c r="N35" s="181"/>
      <c r="O35" s="181"/>
      <c r="P35" s="181"/>
      <c r="Q35" s="181"/>
      <c r="R35" s="181"/>
      <c r="S35" s="426"/>
      <c r="T35" s="181"/>
      <c r="U35" s="435"/>
      <c r="V35" s="181"/>
      <c r="W35" s="181"/>
      <c r="X35" s="437">
        <f t="shared" si="0"/>
        <v>0</v>
      </c>
      <c r="Y35" s="522"/>
      <c r="Z35" s="525"/>
      <c r="AA35" s="526"/>
      <c r="AB35" s="528"/>
      <c r="AC35" s="528"/>
      <c r="AD35" s="527"/>
      <c r="AE35" s="527"/>
      <c r="AF35" s="528"/>
      <c r="AG35" s="528"/>
      <c r="AH35" s="522"/>
      <c r="AI35" s="522"/>
    </row>
    <row r="36" spans="1:35" ht="45">
      <c r="A36" s="430" t="s">
        <v>549</v>
      </c>
      <c r="B36" s="431" t="s">
        <v>550</v>
      </c>
      <c r="C36" s="433" t="s">
        <v>500</v>
      </c>
      <c r="D36" s="433" t="s">
        <v>500</v>
      </c>
      <c r="E36" s="432">
        <v>19680.02</v>
      </c>
      <c r="F36" s="432">
        <v>19680.02</v>
      </c>
      <c r="G36" s="433" t="s">
        <v>500</v>
      </c>
      <c r="H36" s="434" t="s">
        <v>500</v>
      </c>
      <c r="I36" s="181"/>
      <c r="J36" s="181"/>
      <c r="K36" s="181"/>
      <c r="L36" s="181"/>
      <c r="M36" s="181"/>
      <c r="N36" s="181"/>
      <c r="O36" s="181"/>
      <c r="P36" s="181"/>
      <c r="Q36" s="181"/>
      <c r="R36" s="181"/>
      <c r="S36" s="426"/>
      <c r="T36" s="181"/>
      <c r="U36" s="437"/>
      <c r="V36" s="181"/>
      <c r="W36" s="181"/>
      <c r="X36" s="437">
        <f t="shared" si="0"/>
        <v>0</v>
      </c>
      <c r="Y36" s="522"/>
      <c r="Z36" s="525"/>
      <c r="AA36" s="526"/>
      <c r="AB36" s="528"/>
      <c r="AC36" s="528"/>
      <c r="AD36" s="527"/>
      <c r="AE36" s="527"/>
      <c r="AF36" s="528"/>
      <c r="AG36" s="528"/>
      <c r="AH36" s="522"/>
      <c r="AI36" s="522"/>
    </row>
    <row r="37" spans="1:35" ht="30">
      <c r="A37" s="430" t="s">
        <v>551</v>
      </c>
      <c r="B37" s="431" t="s">
        <v>552</v>
      </c>
      <c r="C37" s="432">
        <v>1511964.14</v>
      </c>
      <c r="D37" s="433" t="s">
        <v>500</v>
      </c>
      <c r="E37" s="432">
        <v>18528905.739999998</v>
      </c>
      <c r="F37" s="432">
        <v>17105192.390000001</v>
      </c>
      <c r="G37" s="432">
        <v>2935677.49</v>
      </c>
      <c r="H37" s="434" t="s">
        <v>500</v>
      </c>
      <c r="I37" s="181" t="str">
        <f>АСС!F146</f>
        <v>A.37</v>
      </c>
      <c r="J37" s="435">
        <f>G37</f>
        <v>2935677.49</v>
      </c>
      <c r="K37" s="181"/>
      <c r="L37" s="181"/>
      <c r="M37" s="181"/>
      <c r="N37" s="181"/>
      <c r="O37" s="181"/>
      <c r="P37" s="181"/>
      <c r="Q37" s="181"/>
      <c r="R37" s="181"/>
      <c r="S37" s="436">
        <f>J37</f>
        <v>2935677.49</v>
      </c>
      <c r="T37" s="181">
        <f>'ОСВ 2020'!G41</f>
        <v>4859340.22</v>
      </c>
      <c r="U37" s="437"/>
      <c r="V37" s="181"/>
      <c r="W37" s="181"/>
      <c r="X37" s="437"/>
      <c r="Y37" s="522"/>
      <c r="Z37" s="525"/>
      <c r="AA37" s="526"/>
      <c r="AB37" s="527"/>
      <c r="AC37" s="528"/>
      <c r="AD37" s="527"/>
      <c r="AE37" s="527"/>
      <c r="AF37" s="527"/>
      <c r="AG37" s="528"/>
      <c r="AH37" s="522"/>
      <c r="AI37" s="522"/>
    </row>
    <row r="38" spans="1:35" ht="45">
      <c r="A38" s="430" t="s">
        <v>553</v>
      </c>
      <c r="B38" s="431" t="s">
        <v>554</v>
      </c>
      <c r="C38" s="433" t="s">
        <v>500</v>
      </c>
      <c r="D38" s="433" t="s">
        <v>500</v>
      </c>
      <c r="E38" s="432">
        <v>676500</v>
      </c>
      <c r="F38" s="432">
        <v>676500</v>
      </c>
      <c r="G38" s="433" t="s">
        <v>500</v>
      </c>
      <c r="H38" s="434" t="s">
        <v>500</v>
      </c>
      <c r="I38" s="181"/>
      <c r="J38" s="181"/>
      <c r="K38" s="181"/>
      <c r="L38" s="181"/>
      <c r="M38" s="181"/>
      <c r="N38" s="181"/>
      <c r="O38" s="181"/>
      <c r="P38" s="181"/>
      <c r="Q38" s="181"/>
      <c r="R38" s="181"/>
      <c r="S38" s="426"/>
      <c r="T38" s="181"/>
      <c r="U38" s="181"/>
      <c r="V38" s="181"/>
      <c r="W38" s="181"/>
      <c r="X38" s="437">
        <f t="shared" si="0"/>
        <v>0</v>
      </c>
      <c r="Y38" s="522"/>
      <c r="Z38" s="525"/>
      <c r="AA38" s="526"/>
      <c r="AB38" s="528"/>
      <c r="AC38" s="528"/>
      <c r="AD38" s="527"/>
      <c r="AE38" s="527"/>
      <c r="AF38" s="528"/>
      <c r="AG38" s="528"/>
      <c r="AH38" s="522"/>
      <c r="AI38" s="522"/>
    </row>
    <row r="39" spans="1:35" ht="45.95" customHeight="1">
      <c r="A39" s="430" t="s">
        <v>555</v>
      </c>
      <c r="B39" s="431" t="s">
        <v>556</v>
      </c>
      <c r="C39" s="433" t="s">
        <v>500</v>
      </c>
      <c r="D39" s="433" t="s">
        <v>500</v>
      </c>
      <c r="E39" s="432">
        <v>676500</v>
      </c>
      <c r="F39" s="432">
        <v>676500</v>
      </c>
      <c r="G39" s="433" t="s">
        <v>500</v>
      </c>
      <c r="H39" s="434" t="s">
        <v>500</v>
      </c>
      <c r="I39" s="181"/>
      <c r="J39" s="181"/>
      <c r="K39" s="181"/>
      <c r="L39" s="181"/>
      <c r="M39" s="181"/>
      <c r="N39" s="181"/>
      <c r="O39" s="181"/>
      <c r="P39" s="181"/>
      <c r="Q39" s="181"/>
      <c r="R39" s="181"/>
      <c r="S39" s="426"/>
      <c r="T39" s="181"/>
      <c r="U39" s="181"/>
      <c r="V39" s="181"/>
      <c r="W39" s="181"/>
      <c r="X39" s="437">
        <f t="shared" si="0"/>
        <v>0</v>
      </c>
      <c r="Y39" s="522"/>
      <c r="Z39" s="525"/>
      <c r="AA39" s="526"/>
      <c r="AB39" s="528"/>
      <c r="AC39" s="528"/>
      <c r="AD39" s="527"/>
      <c r="AE39" s="527"/>
      <c r="AF39" s="528"/>
      <c r="AG39" s="528"/>
      <c r="AH39" s="522"/>
      <c r="AI39" s="522"/>
    </row>
    <row r="40" spans="1:35" ht="45">
      <c r="A40" s="430" t="s">
        <v>557</v>
      </c>
      <c r="B40" s="431" t="s">
        <v>558</v>
      </c>
      <c r="C40" s="432">
        <v>226682.13</v>
      </c>
      <c r="D40" s="433" t="s">
        <v>500</v>
      </c>
      <c r="E40" s="432">
        <v>3764032.14</v>
      </c>
      <c r="F40" s="432">
        <v>3970876.18</v>
      </c>
      <c r="G40" s="432">
        <v>19838.09</v>
      </c>
      <c r="H40" s="434" t="s">
        <v>500</v>
      </c>
      <c r="I40" s="181"/>
      <c r="J40" s="181"/>
      <c r="K40" s="181"/>
      <c r="L40" s="181"/>
      <c r="M40" s="181"/>
      <c r="N40" s="181"/>
      <c r="O40" s="181"/>
      <c r="P40" s="181"/>
      <c r="Q40" s="181"/>
      <c r="R40" s="181"/>
      <c r="S40" s="426"/>
      <c r="T40" s="181"/>
      <c r="U40" s="181"/>
      <c r="V40" s="181"/>
      <c r="W40" s="181"/>
      <c r="X40" s="437">
        <v>36640.53</v>
      </c>
      <c r="Y40" s="522"/>
      <c r="Z40" s="525"/>
      <c r="AA40" s="526"/>
      <c r="AB40" s="527"/>
      <c r="AC40" s="528"/>
      <c r="AD40" s="527"/>
      <c r="AE40" s="527"/>
      <c r="AF40" s="527"/>
      <c r="AG40" s="528"/>
      <c r="AH40" s="522"/>
      <c r="AI40" s="522"/>
    </row>
    <row r="41" spans="1:35" ht="30">
      <c r="A41" s="430" t="s">
        <v>559</v>
      </c>
      <c r="B41" s="431" t="s">
        <v>560</v>
      </c>
      <c r="C41" s="432">
        <v>20503.79</v>
      </c>
      <c r="D41" s="433" t="s">
        <v>500</v>
      </c>
      <c r="E41" s="432">
        <v>594731.1</v>
      </c>
      <c r="F41" s="432">
        <v>608792.19999999995</v>
      </c>
      <c r="G41" s="432">
        <v>6442.69</v>
      </c>
      <c r="H41" s="434" t="s">
        <v>500</v>
      </c>
      <c r="I41" s="181"/>
      <c r="J41" s="181"/>
      <c r="K41" s="181"/>
      <c r="L41" s="181"/>
      <c r="M41" s="181"/>
      <c r="N41" s="181"/>
      <c r="O41" s="181"/>
      <c r="P41" s="181"/>
      <c r="Q41" s="181"/>
      <c r="R41" s="181"/>
      <c r="S41" s="426"/>
      <c r="T41" s="181"/>
      <c r="U41" s="181"/>
      <c r="V41" s="181"/>
      <c r="W41" s="181"/>
      <c r="X41" s="437">
        <v>4912.1499999999996</v>
      </c>
      <c r="Y41" s="529">
        <f>X40+X41+X42</f>
        <v>4859340.22</v>
      </c>
      <c r="Z41" s="525"/>
      <c r="AA41" s="526"/>
      <c r="AB41" s="527"/>
      <c r="AC41" s="528"/>
      <c r="AD41" s="527"/>
      <c r="AE41" s="527"/>
      <c r="AF41" s="527"/>
      <c r="AG41" s="528"/>
      <c r="AH41" s="522"/>
      <c r="AI41" s="522"/>
    </row>
    <row r="42" spans="1:35" ht="30">
      <c r="A42" s="430" t="s">
        <v>561</v>
      </c>
      <c r="B42" s="431" t="s">
        <v>562</v>
      </c>
      <c r="C42" s="432">
        <v>1264778.22</v>
      </c>
      <c r="D42" s="433" t="s">
        <v>500</v>
      </c>
      <c r="E42" s="432">
        <v>13493642.5</v>
      </c>
      <c r="F42" s="432">
        <v>11849024.01</v>
      </c>
      <c r="G42" s="432">
        <v>2909396.71</v>
      </c>
      <c r="H42" s="434" t="s">
        <v>500</v>
      </c>
      <c r="I42" s="181"/>
      <c r="J42" s="181"/>
      <c r="K42" s="181"/>
      <c r="L42" s="181"/>
      <c r="M42" s="181"/>
      <c r="N42" s="181"/>
      <c r="O42" s="181"/>
      <c r="P42" s="181"/>
      <c r="Q42" s="181"/>
      <c r="R42" s="181"/>
      <c r="S42" s="426"/>
      <c r="T42" s="181"/>
      <c r="U42" s="181"/>
      <c r="V42" s="181"/>
      <c r="W42" s="181"/>
      <c r="X42" s="437">
        <v>4817787.54</v>
      </c>
      <c r="Y42" s="522"/>
      <c r="Z42" s="525"/>
      <c r="AA42" s="526"/>
      <c r="AB42" s="527"/>
      <c r="AC42" s="528"/>
      <c r="AD42" s="527"/>
      <c r="AE42" s="527"/>
      <c r="AF42" s="527"/>
      <c r="AG42" s="528"/>
      <c r="AH42" s="522"/>
      <c r="AI42" s="522"/>
    </row>
    <row r="43" spans="1:35" ht="60">
      <c r="A43" s="430" t="s">
        <v>563</v>
      </c>
      <c r="B43" s="431" t="s">
        <v>564</v>
      </c>
      <c r="C43" s="432">
        <v>1264778.22</v>
      </c>
      <c r="D43" s="433" t="s">
        <v>500</v>
      </c>
      <c r="E43" s="432">
        <v>13493642.5</v>
      </c>
      <c r="F43" s="432">
        <v>11849024.01</v>
      </c>
      <c r="G43" s="432">
        <v>2909396.71</v>
      </c>
      <c r="H43" s="434" t="s">
        <v>500</v>
      </c>
      <c r="I43" s="181"/>
      <c r="J43" s="181"/>
      <c r="K43" s="181"/>
      <c r="L43" s="181"/>
      <c r="M43" s="181"/>
      <c r="N43" s="181"/>
      <c r="O43" s="181"/>
      <c r="P43" s="181"/>
      <c r="Q43" s="181"/>
      <c r="R43" s="181"/>
      <c r="S43" s="426"/>
      <c r="T43" s="181"/>
      <c r="U43" s="181"/>
      <c r="V43" s="181"/>
      <c r="W43" s="181"/>
      <c r="X43" s="437">
        <f t="shared" si="0"/>
        <v>0</v>
      </c>
      <c r="Y43" s="522"/>
      <c r="Z43" s="525"/>
      <c r="AA43" s="526"/>
      <c r="AB43" s="527"/>
      <c r="AC43" s="528"/>
      <c r="AD43" s="527"/>
      <c r="AE43" s="527"/>
      <c r="AF43" s="527"/>
      <c r="AG43" s="528"/>
      <c r="AH43" s="522"/>
      <c r="AI43" s="522"/>
    </row>
    <row r="44" spans="1:35" ht="30">
      <c r="A44" s="430" t="s">
        <v>565</v>
      </c>
      <c r="B44" s="431" t="s">
        <v>566</v>
      </c>
      <c r="C44" s="433" t="s">
        <v>500</v>
      </c>
      <c r="D44" s="433" t="s">
        <v>500</v>
      </c>
      <c r="E44" s="432">
        <v>1008</v>
      </c>
      <c r="F44" s="432">
        <v>1008</v>
      </c>
      <c r="G44" s="433" t="s">
        <v>500</v>
      </c>
      <c r="H44" s="434" t="s">
        <v>500</v>
      </c>
      <c r="I44" s="181"/>
      <c r="J44" s="181"/>
      <c r="K44" s="181"/>
      <c r="L44" s="181"/>
      <c r="M44" s="181"/>
      <c r="N44" s="181"/>
      <c r="O44" s="181"/>
      <c r="P44" s="181"/>
      <c r="Q44" s="181"/>
      <c r="R44" s="181"/>
      <c r="S44" s="426"/>
      <c r="T44" s="181"/>
      <c r="U44" s="181"/>
      <c r="V44" s="181"/>
      <c r="W44" s="181"/>
      <c r="X44" s="437">
        <f t="shared" si="0"/>
        <v>0</v>
      </c>
      <c r="Y44" s="522"/>
      <c r="Z44" s="525"/>
      <c r="AA44" s="526"/>
      <c r="AB44" s="528"/>
      <c r="AC44" s="528"/>
      <c r="AD44" s="527"/>
      <c r="AE44" s="527"/>
      <c r="AF44" s="528"/>
      <c r="AG44" s="528"/>
      <c r="AH44" s="522"/>
      <c r="AI44" s="522"/>
    </row>
    <row r="45" spans="1:35" ht="30">
      <c r="A45" s="430" t="s">
        <v>567</v>
      </c>
      <c r="B45" s="431" t="s">
        <v>568</v>
      </c>
      <c r="C45" s="433" t="s">
        <v>500</v>
      </c>
      <c r="D45" s="432">
        <v>930000</v>
      </c>
      <c r="E45" s="433" t="s">
        <v>500</v>
      </c>
      <c r="F45" s="433" t="s">
        <v>500</v>
      </c>
      <c r="G45" s="433" t="s">
        <v>500</v>
      </c>
      <c r="H45" s="439">
        <v>930000</v>
      </c>
      <c r="I45" s="181" t="str">
        <f>АСС!F172</f>
        <v>E.40</v>
      </c>
      <c r="J45" s="435">
        <f>-H45</f>
        <v>-930000</v>
      </c>
      <c r="K45" s="181"/>
      <c r="L45" s="181"/>
      <c r="M45" s="181"/>
      <c r="N45" s="181"/>
      <c r="O45" s="181"/>
      <c r="P45" s="181"/>
      <c r="Q45" s="181"/>
      <c r="R45" s="181"/>
      <c r="S45" s="436">
        <f>J45</f>
        <v>-930000</v>
      </c>
      <c r="T45" s="181">
        <f>-'ОСВ 2020'!H49</f>
        <v>-930000</v>
      </c>
      <c r="U45" s="181"/>
      <c r="V45" s="181"/>
      <c r="W45" s="181"/>
      <c r="X45" s="437">
        <f t="shared" si="0"/>
        <v>-930000</v>
      </c>
      <c r="Y45" s="522"/>
      <c r="Z45" s="525"/>
      <c r="AA45" s="526"/>
      <c r="AB45" s="528"/>
      <c r="AC45" s="527"/>
      <c r="AD45" s="528"/>
      <c r="AE45" s="528"/>
      <c r="AF45" s="528"/>
      <c r="AG45" s="527"/>
      <c r="AH45" s="522"/>
      <c r="AI45" s="522"/>
    </row>
    <row r="46" spans="1:35">
      <c r="A46" s="430" t="s">
        <v>569</v>
      </c>
      <c r="B46" s="431" t="s">
        <v>64</v>
      </c>
      <c r="C46" s="433" t="s">
        <v>500</v>
      </c>
      <c r="D46" s="432">
        <v>930000</v>
      </c>
      <c r="E46" s="433" t="s">
        <v>500</v>
      </c>
      <c r="F46" s="433" t="s">
        <v>500</v>
      </c>
      <c r="G46" s="433" t="s">
        <v>500</v>
      </c>
      <c r="H46" s="439">
        <v>930000</v>
      </c>
      <c r="I46" s="181"/>
      <c r="J46" s="181"/>
      <c r="K46" s="181"/>
      <c r="L46" s="181"/>
      <c r="M46" s="181"/>
      <c r="N46" s="181"/>
      <c r="O46" s="181"/>
      <c r="P46" s="181"/>
      <c r="Q46" s="181"/>
      <c r="R46" s="181"/>
      <c r="S46" s="426"/>
      <c r="T46" s="181"/>
      <c r="U46" s="181"/>
      <c r="V46" s="181"/>
      <c r="W46" s="181"/>
      <c r="X46" s="437">
        <f t="shared" si="0"/>
        <v>0</v>
      </c>
      <c r="Y46" s="522"/>
      <c r="Z46" s="525"/>
      <c r="AA46" s="526"/>
      <c r="AB46" s="528"/>
      <c r="AC46" s="527"/>
      <c r="AD46" s="528"/>
      <c r="AE46" s="528"/>
      <c r="AF46" s="528"/>
      <c r="AG46" s="527"/>
      <c r="AH46" s="522"/>
      <c r="AI46" s="522"/>
    </row>
    <row r="47" spans="1:35">
      <c r="A47" s="430" t="s">
        <v>570</v>
      </c>
      <c r="B47" s="431" t="s">
        <v>478</v>
      </c>
      <c r="C47" s="433" t="s">
        <v>500</v>
      </c>
      <c r="D47" s="432">
        <v>108128.82</v>
      </c>
      <c r="E47" s="433" t="s">
        <v>500</v>
      </c>
      <c r="F47" s="433" t="s">
        <v>500</v>
      </c>
      <c r="G47" s="433" t="s">
        <v>500</v>
      </c>
      <c r="H47" s="439">
        <v>108128.82</v>
      </c>
      <c r="I47" s="181" t="str">
        <f>АСС!F175</f>
        <v>E.42</v>
      </c>
      <c r="J47" s="435">
        <f>-H47</f>
        <v>-108128.82</v>
      </c>
      <c r="K47" s="181"/>
      <c r="L47" s="181"/>
      <c r="M47" s="181"/>
      <c r="N47" s="181"/>
      <c r="O47" s="181"/>
      <c r="P47" s="181"/>
      <c r="Q47" s="181"/>
      <c r="R47" s="181"/>
      <c r="S47" s="436">
        <f>J47</f>
        <v>-108128.82</v>
      </c>
      <c r="T47" s="181">
        <f>-'ОСВ 2020'!H51</f>
        <v>-108128.82</v>
      </c>
      <c r="U47" s="181"/>
      <c r="V47" s="181"/>
      <c r="W47" s="181"/>
      <c r="X47" s="437">
        <f t="shared" si="0"/>
        <v>-108128.82</v>
      </c>
      <c r="Y47" s="522"/>
      <c r="Z47" s="525"/>
      <c r="AA47" s="526"/>
      <c r="AB47" s="528"/>
      <c r="AC47" s="527"/>
      <c r="AD47" s="528"/>
      <c r="AE47" s="528"/>
      <c r="AF47" s="528"/>
      <c r="AG47" s="527"/>
      <c r="AH47" s="522"/>
      <c r="AI47" s="522"/>
    </row>
    <row r="48" spans="1:35" ht="30">
      <c r="A48" s="430" t="s">
        <v>571</v>
      </c>
      <c r="B48" s="431" t="s">
        <v>572</v>
      </c>
      <c r="C48" s="433" t="s">
        <v>500</v>
      </c>
      <c r="D48" s="432">
        <v>108128.82</v>
      </c>
      <c r="E48" s="433" t="s">
        <v>500</v>
      </c>
      <c r="F48" s="433" t="s">
        <v>500</v>
      </c>
      <c r="G48" s="433" t="s">
        <v>500</v>
      </c>
      <c r="H48" s="439">
        <v>108128.82</v>
      </c>
      <c r="I48" s="181"/>
      <c r="J48" s="181"/>
      <c r="K48" s="181"/>
      <c r="L48" s="181"/>
      <c r="M48" s="181"/>
      <c r="N48" s="181"/>
      <c r="O48" s="181"/>
      <c r="P48" s="181"/>
      <c r="Q48" s="181"/>
      <c r="R48" s="181"/>
      <c r="S48" s="426"/>
      <c r="T48" s="181"/>
      <c r="U48" s="181"/>
      <c r="V48" s="181"/>
      <c r="W48" s="181"/>
      <c r="X48" s="437">
        <f t="shared" si="0"/>
        <v>0</v>
      </c>
      <c r="Y48" s="522"/>
      <c r="Z48" s="525"/>
      <c r="AA48" s="526"/>
      <c r="AB48" s="528"/>
      <c r="AC48" s="527"/>
      <c r="AD48" s="528"/>
      <c r="AE48" s="528"/>
      <c r="AF48" s="528"/>
      <c r="AG48" s="527"/>
      <c r="AH48" s="522"/>
      <c r="AI48" s="522"/>
    </row>
    <row r="49" spans="1:35">
      <c r="A49" s="430" t="s">
        <v>573</v>
      </c>
      <c r="B49" s="431" t="s">
        <v>479</v>
      </c>
      <c r="C49" s="433" t="s">
        <v>500</v>
      </c>
      <c r="D49" s="432">
        <v>10087.48</v>
      </c>
      <c r="E49" s="433" t="s">
        <v>500</v>
      </c>
      <c r="F49" s="432">
        <v>24294.49</v>
      </c>
      <c r="G49" s="433" t="s">
        <v>500</v>
      </c>
      <c r="H49" s="439">
        <v>34381.97</v>
      </c>
      <c r="I49" s="181" t="str">
        <f>АСС!F189</f>
        <v>E.43</v>
      </c>
      <c r="J49" s="442">
        <f>-H49+24294.49</f>
        <v>-10087.48</v>
      </c>
      <c r="K49" s="181">
        <v>24294.49</v>
      </c>
      <c r="L49" s="181"/>
      <c r="M49" s="181"/>
      <c r="N49" s="181"/>
      <c r="O49" s="181"/>
      <c r="P49" s="181"/>
      <c r="Q49" s="181"/>
      <c r="R49" s="181"/>
      <c r="S49" s="436">
        <f>J49</f>
        <v>-10087.48</v>
      </c>
      <c r="T49" s="181">
        <f>-'ОСВ 2020'!H53</f>
        <v>-34381.97</v>
      </c>
      <c r="U49" s="181"/>
      <c r="V49" s="181"/>
      <c r="W49" s="181"/>
      <c r="X49" s="437">
        <f>-51392.67</f>
        <v>-51392.67</v>
      </c>
      <c r="Y49" s="522"/>
      <c r="Z49" s="525"/>
      <c r="AA49" s="526"/>
      <c r="AB49" s="528"/>
      <c r="AC49" s="527"/>
      <c r="AD49" s="528"/>
      <c r="AE49" s="527"/>
      <c r="AF49" s="528"/>
      <c r="AG49" s="527"/>
      <c r="AH49" s="522"/>
      <c r="AI49" s="522"/>
    </row>
    <row r="50" spans="1:35" ht="45">
      <c r="A50" s="430" t="s">
        <v>574</v>
      </c>
      <c r="B50" s="431" t="s">
        <v>575</v>
      </c>
      <c r="C50" s="433" t="s">
        <v>500</v>
      </c>
      <c r="D50" s="432">
        <v>189142.34</v>
      </c>
      <c r="E50" s="432">
        <v>206845.29</v>
      </c>
      <c r="F50" s="432">
        <v>580982.12</v>
      </c>
      <c r="G50" s="433" t="s">
        <v>500</v>
      </c>
      <c r="H50" s="439">
        <v>563279.17000000004</v>
      </c>
      <c r="I50" s="181" t="str">
        <f>АСС!F190</f>
        <v>E.44</v>
      </c>
      <c r="J50" s="442">
        <f>-D50</f>
        <v>-189142.34</v>
      </c>
      <c r="K50" s="440">
        <f>F50-E50</f>
        <v>374136.82999999996</v>
      </c>
      <c r="L50" s="181"/>
      <c r="M50" s="181"/>
      <c r="N50" s="181"/>
      <c r="O50" s="181"/>
      <c r="P50" s="181"/>
      <c r="Q50" s="181"/>
      <c r="R50" s="181"/>
      <c r="S50" s="436">
        <f>J50</f>
        <v>-189142.34</v>
      </c>
      <c r="T50" s="181">
        <f>-'ОСВ 2020'!H54</f>
        <v>-903341.6</v>
      </c>
      <c r="U50" s="181"/>
      <c r="V50" s="181"/>
      <c r="W50" s="181"/>
      <c r="X50" s="437">
        <f>-882244.71</f>
        <v>-882244.71</v>
      </c>
      <c r="Y50" s="522"/>
      <c r="Z50" s="525"/>
      <c r="AA50" s="526"/>
      <c r="AB50" s="528"/>
      <c r="AC50" s="527"/>
      <c r="AD50" s="527"/>
      <c r="AE50" s="527"/>
      <c r="AF50" s="528"/>
      <c r="AG50" s="527"/>
      <c r="AH50" s="522"/>
      <c r="AI50" s="522"/>
    </row>
    <row r="51" spans="1:35" ht="30">
      <c r="A51" s="430" t="s">
        <v>576</v>
      </c>
      <c r="B51" s="431" t="s">
        <v>577</v>
      </c>
      <c r="C51" s="433" t="s">
        <v>500</v>
      </c>
      <c r="D51" s="432">
        <v>657867.86</v>
      </c>
      <c r="E51" s="432">
        <v>24294.49</v>
      </c>
      <c r="F51" s="432">
        <v>580982.12</v>
      </c>
      <c r="G51" s="433" t="s">
        <v>500</v>
      </c>
      <c r="H51" s="439">
        <v>1214555.49</v>
      </c>
      <c r="I51" s="181"/>
      <c r="J51" s="181"/>
      <c r="K51" s="181"/>
      <c r="L51" s="181"/>
      <c r="M51" s="181"/>
      <c r="N51" s="181"/>
      <c r="O51" s="181"/>
      <c r="P51" s="181"/>
      <c r="Q51" s="181"/>
      <c r="R51" s="181"/>
      <c r="S51" s="426"/>
      <c r="T51" s="181"/>
      <c r="U51" s="181"/>
      <c r="V51" s="181"/>
      <c r="W51" s="181"/>
      <c r="X51" s="437">
        <f t="shared" si="0"/>
        <v>0</v>
      </c>
      <c r="Y51" s="522"/>
      <c r="Z51" s="525"/>
      <c r="AA51" s="526"/>
      <c r="AB51" s="528"/>
      <c r="AC51" s="527"/>
      <c r="AD51" s="527"/>
      <c r="AE51" s="527"/>
      <c r="AF51" s="528"/>
      <c r="AG51" s="527"/>
      <c r="AH51" s="522"/>
      <c r="AI51" s="522"/>
    </row>
    <row r="52" spans="1:35">
      <c r="A52" s="430" t="s">
        <v>578</v>
      </c>
      <c r="B52" s="431" t="s">
        <v>579</v>
      </c>
      <c r="C52" s="432">
        <v>468725.52</v>
      </c>
      <c r="D52" s="433" t="s">
        <v>500</v>
      </c>
      <c r="E52" s="432">
        <v>182550.8</v>
      </c>
      <c r="F52" s="433" t="s">
        <v>500</v>
      </c>
      <c r="G52" s="432">
        <v>651276.31999999995</v>
      </c>
      <c r="H52" s="434" t="s">
        <v>500</v>
      </c>
      <c r="I52" s="181"/>
      <c r="J52" s="181"/>
      <c r="K52" s="181"/>
      <c r="L52" s="181"/>
      <c r="M52" s="181"/>
      <c r="N52" s="181"/>
      <c r="O52" s="181"/>
      <c r="P52" s="181"/>
      <c r="Q52" s="181"/>
      <c r="R52" s="181"/>
      <c r="S52" s="426"/>
      <c r="T52" s="181"/>
      <c r="U52" s="181"/>
      <c r="V52" s="181"/>
      <c r="W52" s="181"/>
      <c r="X52" s="437">
        <f t="shared" si="0"/>
        <v>0</v>
      </c>
      <c r="Y52" s="522"/>
      <c r="Z52" s="525"/>
      <c r="AA52" s="526"/>
      <c r="AB52" s="527"/>
      <c r="AC52" s="528"/>
      <c r="AD52" s="528"/>
      <c r="AE52" s="528"/>
      <c r="AF52" s="527"/>
      <c r="AG52" s="528"/>
      <c r="AH52" s="522"/>
      <c r="AI52" s="522"/>
    </row>
    <row r="53" spans="1:35" ht="36" customHeight="1">
      <c r="A53" s="430" t="s">
        <v>580</v>
      </c>
      <c r="B53" s="431" t="s">
        <v>581</v>
      </c>
      <c r="C53" s="433" t="s">
        <v>500</v>
      </c>
      <c r="D53" s="441">
        <v>372.53</v>
      </c>
      <c r="E53" s="432">
        <v>43582.1</v>
      </c>
      <c r="F53" s="432">
        <v>46293.84</v>
      </c>
      <c r="G53" s="433" t="s">
        <v>500</v>
      </c>
      <c r="H53" s="439">
        <v>3084.27</v>
      </c>
      <c r="I53" s="181" t="str">
        <f>АСС!F198</f>
        <v>L.47</v>
      </c>
      <c r="J53" s="435">
        <f>-H53</f>
        <v>-3084.27</v>
      </c>
      <c r="K53" s="181"/>
      <c r="L53" s="181"/>
      <c r="M53" s="181"/>
      <c r="N53" s="181"/>
      <c r="O53" s="181"/>
      <c r="P53" s="181"/>
      <c r="Q53" s="181"/>
      <c r="R53" s="181"/>
      <c r="S53" s="436">
        <f>J53</f>
        <v>-3084.27</v>
      </c>
      <c r="T53" s="181">
        <f>-'ОСВ 2020'!H57</f>
        <v>-1132.5899999999999</v>
      </c>
      <c r="U53" s="181"/>
      <c r="V53" s="181"/>
      <c r="W53" s="181"/>
      <c r="X53" s="437">
        <f t="shared" si="0"/>
        <v>-1132.5899999999999</v>
      </c>
      <c r="Y53" s="522"/>
      <c r="Z53" s="525"/>
      <c r="AA53" s="526"/>
      <c r="AB53" s="528"/>
      <c r="AC53" s="527"/>
      <c r="AD53" s="527"/>
      <c r="AE53" s="527"/>
      <c r="AF53" s="528"/>
      <c r="AG53" s="527"/>
      <c r="AH53" s="522"/>
      <c r="AI53" s="522"/>
    </row>
    <row r="54" spans="1:35" ht="30">
      <c r="A54" s="430" t="s">
        <v>582</v>
      </c>
      <c r="B54" s="431" t="s">
        <v>583</v>
      </c>
      <c r="C54" s="433" t="s">
        <v>500</v>
      </c>
      <c r="D54" s="441">
        <v>372.53</v>
      </c>
      <c r="E54" s="432">
        <v>43582.1</v>
      </c>
      <c r="F54" s="432">
        <v>46293.84</v>
      </c>
      <c r="G54" s="433" t="s">
        <v>500</v>
      </c>
      <c r="H54" s="439">
        <v>3084.27</v>
      </c>
      <c r="I54" s="181"/>
      <c r="J54" s="181"/>
      <c r="K54" s="181"/>
      <c r="L54" s="181"/>
      <c r="M54" s="181"/>
      <c r="N54" s="181"/>
      <c r="O54" s="181"/>
      <c r="P54" s="181"/>
      <c r="Q54" s="181"/>
      <c r="R54" s="181"/>
      <c r="S54" s="426"/>
      <c r="T54" s="181"/>
      <c r="U54" s="181"/>
      <c r="V54" s="181"/>
      <c r="W54" s="181"/>
      <c r="X54" s="437">
        <f t="shared" si="0"/>
        <v>0</v>
      </c>
      <c r="Y54" s="522"/>
      <c r="Z54" s="525"/>
      <c r="AA54" s="526"/>
      <c r="AB54" s="528"/>
      <c r="AC54" s="527"/>
      <c r="AD54" s="527"/>
      <c r="AE54" s="527"/>
      <c r="AF54" s="528"/>
      <c r="AG54" s="527"/>
      <c r="AH54" s="522"/>
      <c r="AI54" s="522"/>
    </row>
    <row r="55" spans="1:35" ht="30">
      <c r="A55" s="430">
        <v>53</v>
      </c>
      <c r="B55" s="431" t="s">
        <v>1391</v>
      </c>
      <c r="C55" s="433"/>
      <c r="D55" s="441"/>
      <c r="E55" s="432"/>
      <c r="F55" s="432"/>
      <c r="G55" s="433"/>
      <c r="H55" s="439"/>
      <c r="I55" s="181"/>
      <c r="J55" s="181"/>
      <c r="K55" s="181"/>
      <c r="L55" s="437">
        <f>-'Сводная ОА'!F17</f>
        <v>-2546540.7008291944</v>
      </c>
      <c r="M55" s="437">
        <f>'Сводная ОА'!F20</f>
        <v>822334.14329404524</v>
      </c>
      <c r="N55" s="181"/>
      <c r="O55" s="181"/>
      <c r="P55" s="181"/>
      <c r="Q55" s="189">
        <f>'Сводная ОА'!F42</f>
        <v>1002358.7935938835</v>
      </c>
      <c r="R55" s="181"/>
      <c r="S55" s="438">
        <f>L55+M55+Q55</f>
        <v>-721847.76394126564</v>
      </c>
      <c r="T55" s="181">
        <f>-'ОСВ 2020'!H59</f>
        <v>-721847.77</v>
      </c>
      <c r="U55" s="181"/>
      <c r="V55" s="181"/>
      <c r="W55" s="189">
        <f>'Сводная ОА'!T11</f>
        <v>543708.81765224319</v>
      </c>
      <c r="X55" s="437">
        <f t="shared" si="0"/>
        <v>-178138.95234775683</v>
      </c>
      <c r="Y55" s="522"/>
      <c r="Z55" s="525"/>
      <c r="AA55" s="526"/>
      <c r="AB55" s="528"/>
      <c r="AC55" s="527"/>
      <c r="AD55" s="527"/>
      <c r="AE55" s="528"/>
      <c r="AF55" s="528"/>
      <c r="AG55" s="527"/>
      <c r="AH55" s="522"/>
      <c r="AI55" s="522"/>
    </row>
    <row r="56" spans="1:35">
      <c r="A56" s="430">
        <v>60</v>
      </c>
      <c r="B56" s="431"/>
      <c r="C56" s="433"/>
      <c r="D56" s="441"/>
      <c r="E56" s="432"/>
      <c r="F56" s="432"/>
      <c r="G56" s="433"/>
      <c r="H56" s="439"/>
      <c r="I56" s="181"/>
      <c r="J56" s="181"/>
      <c r="K56" s="181"/>
      <c r="L56" s="437"/>
      <c r="M56" s="437"/>
      <c r="N56" s="181"/>
      <c r="O56" s="181"/>
      <c r="P56" s="181"/>
      <c r="Q56" s="189"/>
      <c r="R56" s="181"/>
      <c r="S56" s="438"/>
      <c r="T56" s="181">
        <f>-'ОСВ 2020'!H61</f>
        <v>-958999.98</v>
      </c>
      <c r="U56" s="181"/>
      <c r="V56" s="181"/>
      <c r="W56" s="181"/>
      <c r="X56" s="437">
        <f t="shared" si="0"/>
        <v>-958999.98</v>
      </c>
      <c r="Y56" s="522"/>
      <c r="Z56" s="525"/>
      <c r="AA56" s="526"/>
      <c r="AB56" s="528"/>
      <c r="AC56" s="527"/>
      <c r="AD56" s="527"/>
      <c r="AE56" s="528"/>
      <c r="AF56" s="528"/>
      <c r="AG56" s="527"/>
      <c r="AH56" s="522"/>
      <c r="AI56" s="522"/>
    </row>
    <row r="57" spans="1:35">
      <c r="A57" s="430">
        <v>614</v>
      </c>
      <c r="B57" s="431" t="s">
        <v>1394</v>
      </c>
      <c r="C57" s="433"/>
      <c r="D57" s="441"/>
      <c r="E57" s="432"/>
      <c r="F57" s="432"/>
      <c r="G57" s="433"/>
      <c r="H57" s="439"/>
      <c r="I57" s="181"/>
      <c r="J57" s="181"/>
      <c r="K57" s="181"/>
      <c r="L57" s="437"/>
      <c r="M57" s="437">
        <f>-'Сводная ОА'!F20</f>
        <v>-822334.14329404524</v>
      </c>
      <c r="N57" s="437"/>
      <c r="O57" s="437">
        <f>-'Сводная ОА'!F28</f>
        <v>-67665.856705959333</v>
      </c>
      <c r="P57" s="183">
        <f>'Сводная ОА'!I28</f>
        <v>890000</v>
      </c>
      <c r="Q57" s="189">
        <f>-'Сводная ОА'!F42</f>
        <v>-1002358.7935938835</v>
      </c>
      <c r="R57" s="181"/>
      <c r="S57" s="438">
        <f>M57+O57+P57+Q57</f>
        <v>-1002358.7935938881</v>
      </c>
      <c r="T57" s="181">
        <f>-'ОСВ 2020'!H63</f>
        <v>-1002358.79</v>
      </c>
      <c r="U57" s="181"/>
      <c r="V57" s="183">
        <f>-'Сводная ОА'!R11</f>
        <v>-214376.60282628291</v>
      </c>
      <c r="W57" s="189">
        <f>-'Сводная ОА'!T11</f>
        <v>-543708.81765224319</v>
      </c>
      <c r="X57" s="437">
        <f>-507872.71</f>
        <v>-507872.71</v>
      </c>
      <c r="Y57" s="522"/>
      <c r="Z57" s="525"/>
      <c r="AA57" s="526"/>
      <c r="AB57" s="528"/>
      <c r="AC57" s="528"/>
      <c r="AD57" s="527"/>
      <c r="AE57" s="527"/>
      <c r="AF57" s="528"/>
      <c r="AG57" s="527"/>
      <c r="AH57" s="522"/>
      <c r="AI57" s="522"/>
    </row>
    <row r="58" spans="1:35" ht="45">
      <c r="A58" s="430" t="s">
        <v>584</v>
      </c>
      <c r="B58" s="431" t="s">
        <v>585</v>
      </c>
      <c r="C58" s="433" t="s">
        <v>500</v>
      </c>
      <c r="D58" s="433" t="s">
        <v>500</v>
      </c>
      <c r="E58" s="432">
        <v>62615.55</v>
      </c>
      <c r="F58" s="432">
        <v>62615.55</v>
      </c>
      <c r="G58" s="433" t="s">
        <v>500</v>
      </c>
      <c r="H58" s="434" t="s">
        <v>500</v>
      </c>
      <c r="I58" s="181"/>
      <c r="J58" s="181"/>
      <c r="K58" s="181"/>
      <c r="L58" s="181"/>
      <c r="M58" s="181"/>
      <c r="N58" s="181"/>
      <c r="O58" s="181"/>
      <c r="P58" s="181"/>
      <c r="Q58" s="181"/>
      <c r="R58" s="181"/>
      <c r="S58" s="426"/>
      <c r="T58" s="181"/>
      <c r="U58" s="181"/>
      <c r="V58" s="181"/>
      <c r="W58" s="181"/>
      <c r="X58" s="437">
        <f t="shared" si="0"/>
        <v>0</v>
      </c>
      <c r="Y58" s="522"/>
      <c r="Z58" s="525"/>
      <c r="AA58" s="526"/>
      <c r="AB58" s="528"/>
      <c r="AC58" s="528"/>
      <c r="AD58" s="527"/>
      <c r="AE58" s="527"/>
      <c r="AF58" s="528"/>
      <c r="AG58" s="527"/>
      <c r="AH58" s="522"/>
      <c r="AI58" s="522"/>
    </row>
    <row r="59" spans="1:35" ht="45">
      <c r="A59" s="430" t="s">
        <v>586</v>
      </c>
      <c r="B59" s="431" t="s">
        <v>587</v>
      </c>
      <c r="C59" s="433" t="s">
        <v>500</v>
      </c>
      <c r="D59" s="433" t="s">
        <v>500</v>
      </c>
      <c r="E59" s="432">
        <v>62615.55</v>
      </c>
      <c r="F59" s="432">
        <v>62615.55</v>
      </c>
      <c r="G59" s="433" t="s">
        <v>500</v>
      </c>
      <c r="H59" s="434" t="s">
        <v>500</v>
      </c>
      <c r="I59" s="181"/>
      <c r="J59" s="181"/>
      <c r="K59" s="181"/>
      <c r="L59" s="181"/>
      <c r="M59" s="181"/>
      <c r="N59" s="181"/>
      <c r="O59" s="181"/>
      <c r="P59" s="181"/>
      <c r="Q59" s="181"/>
      <c r="R59" s="181"/>
      <c r="S59" s="426"/>
      <c r="T59" s="181"/>
      <c r="U59" s="181"/>
      <c r="V59" s="181"/>
      <c r="W59" s="181"/>
      <c r="X59" s="437">
        <f t="shared" si="0"/>
        <v>0</v>
      </c>
      <c r="Y59" s="522"/>
      <c r="Z59" s="525"/>
      <c r="AA59" s="526"/>
      <c r="AB59" s="528"/>
      <c r="AC59" s="527"/>
      <c r="AD59" s="527"/>
      <c r="AE59" s="527"/>
      <c r="AF59" s="528"/>
      <c r="AG59" s="527"/>
      <c r="AH59" s="522"/>
      <c r="AI59" s="522"/>
    </row>
    <row r="60" spans="1:35" ht="29.1" customHeight="1">
      <c r="A60" s="430" t="s">
        <v>588</v>
      </c>
      <c r="B60" s="431" t="s">
        <v>589</v>
      </c>
      <c r="C60" s="433" t="s">
        <v>500</v>
      </c>
      <c r="D60" s="432">
        <v>13238.56</v>
      </c>
      <c r="E60" s="432">
        <v>112252</v>
      </c>
      <c r="F60" s="432">
        <v>185508.83</v>
      </c>
      <c r="G60" s="433" t="s">
        <v>500</v>
      </c>
      <c r="H60" s="439">
        <v>86495.39</v>
      </c>
      <c r="I60" s="181" t="str">
        <f>АСС!F253</f>
        <v>L.64</v>
      </c>
      <c r="J60" s="435">
        <f>-H60</f>
        <v>-86495.39</v>
      </c>
      <c r="K60" s="181"/>
      <c r="L60" s="181"/>
      <c r="M60" s="181"/>
      <c r="N60" s="181"/>
      <c r="O60" s="181"/>
      <c r="P60" s="181"/>
      <c r="Q60" s="181"/>
      <c r="R60" s="181"/>
      <c r="S60" s="436">
        <f>J60</f>
        <v>-86495.39</v>
      </c>
      <c r="T60" s="440">
        <f>-'ОСВ 2020'!H67</f>
        <v>-3444.03</v>
      </c>
      <c r="U60" s="181"/>
      <c r="V60" s="181"/>
      <c r="W60" s="181"/>
      <c r="X60" s="437"/>
      <c r="Y60" s="522"/>
      <c r="Z60" s="525"/>
      <c r="AA60" s="526"/>
      <c r="AB60" s="528"/>
      <c r="AC60" s="527"/>
      <c r="AD60" s="527"/>
      <c r="AE60" s="527"/>
      <c r="AF60" s="528"/>
      <c r="AG60" s="527"/>
      <c r="AH60" s="522"/>
      <c r="AI60" s="522"/>
    </row>
    <row r="61" spans="1:35" ht="33.950000000000003" customHeight="1">
      <c r="A61" s="430" t="s">
        <v>590</v>
      </c>
      <c r="B61" s="431" t="s">
        <v>591</v>
      </c>
      <c r="C61" s="433" t="s">
        <v>500</v>
      </c>
      <c r="D61" s="432">
        <v>13408.01</v>
      </c>
      <c r="E61" s="432">
        <v>102620</v>
      </c>
      <c r="F61" s="432">
        <v>175885.02</v>
      </c>
      <c r="G61" s="433" t="s">
        <v>500</v>
      </c>
      <c r="H61" s="439">
        <v>86673.03</v>
      </c>
      <c r="I61" s="181"/>
      <c r="J61" s="181"/>
      <c r="K61" s="181"/>
      <c r="L61" s="181"/>
      <c r="M61" s="181"/>
      <c r="N61" s="181"/>
      <c r="O61" s="181"/>
      <c r="P61" s="181"/>
      <c r="Q61" s="181"/>
      <c r="R61" s="181"/>
      <c r="S61" s="426"/>
      <c r="T61" s="181"/>
      <c r="U61" s="181"/>
      <c r="V61" s="181"/>
      <c r="W61" s="181"/>
      <c r="X61" s="437">
        <f>-64486.35</f>
        <v>-64486.35</v>
      </c>
      <c r="Y61" s="529">
        <f>X61+X64+X68+X70</f>
        <v>-91655.73</v>
      </c>
      <c r="Z61" s="525"/>
      <c r="AA61" s="526"/>
      <c r="AB61" s="528"/>
      <c r="AC61" s="528"/>
      <c r="AD61" s="527"/>
      <c r="AE61" s="527"/>
      <c r="AF61" s="528"/>
      <c r="AG61" s="528"/>
      <c r="AH61" s="522"/>
      <c r="AI61" s="522"/>
    </row>
    <row r="62" spans="1:35" ht="30">
      <c r="A62" s="430" t="s">
        <v>592</v>
      </c>
      <c r="B62" s="443" t="s">
        <v>593</v>
      </c>
      <c r="C62" s="432">
        <v>1259.71</v>
      </c>
      <c r="D62" s="433" t="s">
        <v>500</v>
      </c>
      <c r="E62" s="432">
        <v>87620</v>
      </c>
      <c r="F62" s="432">
        <v>88426.46</v>
      </c>
      <c r="G62" s="441">
        <v>453.25</v>
      </c>
      <c r="H62" s="434" t="s">
        <v>500</v>
      </c>
      <c r="I62" s="181"/>
      <c r="J62" s="181"/>
      <c r="K62" s="181"/>
      <c r="L62" s="181"/>
      <c r="M62" s="181"/>
      <c r="N62" s="181"/>
      <c r="O62" s="181"/>
      <c r="P62" s="181"/>
      <c r="Q62" s="181"/>
      <c r="R62" s="181"/>
      <c r="S62" s="426"/>
      <c r="T62" s="181"/>
      <c r="U62" s="181"/>
      <c r="V62" s="181"/>
      <c r="W62" s="181"/>
      <c r="X62" s="437">
        <f t="shared" si="0"/>
        <v>0</v>
      </c>
      <c r="Y62" s="522"/>
      <c r="Z62" s="525"/>
      <c r="AA62" s="526"/>
      <c r="AB62" s="528"/>
      <c r="AC62" s="528"/>
      <c r="AD62" s="527"/>
      <c r="AE62" s="527"/>
      <c r="AF62" s="528"/>
      <c r="AG62" s="528"/>
      <c r="AH62" s="522"/>
      <c r="AI62" s="522"/>
    </row>
    <row r="63" spans="1:35" ht="30">
      <c r="A63" s="430" t="s">
        <v>594</v>
      </c>
      <c r="B63" s="431" t="s">
        <v>595</v>
      </c>
      <c r="C63" s="433" t="s">
        <v>500</v>
      </c>
      <c r="D63" s="432">
        <v>14667.72</v>
      </c>
      <c r="E63" s="432">
        <v>15000</v>
      </c>
      <c r="F63" s="432">
        <v>87458.559999999998</v>
      </c>
      <c r="G63" s="433" t="s">
        <v>500</v>
      </c>
      <c r="H63" s="439">
        <v>87126.28</v>
      </c>
      <c r="I63" s="181"/>
      <c r="J63" s="181"/>
      <c r="K63" s="181"/>
      <c r="L63" s="181"/>
      <c r="M63" s="181"/>
      <c r="N63" s="181"/>
      <c r="O63" s="181"/>
      <c r="P63" s="181"/>
      <c r="Q63" s="181"/>
      <c r="R63" s="181"/>
      <c r="S63" s="426"/>
      <c r="T63" s="181"/>
      <c r="U63" s="181"/>
      <c r="V63" s="181"/>
      <c r="W63" s="181"/>
      <c r="X63" s="437">
        <f t="shared" si="0"/>
        <v>0</v>
      </c>
      <c r="Y63" s="522"/>
      <c r="Z63" s="525"/>
      <c r="AA63" s="526"/>
      <c r="AB63" s="528"/>
      <c r="AC63" s="527"/>
      <c r="AD63" s="527"/>
      <c r="AE63" s="527"/>
      <c r="AF63" s="528"/>
      <c r="AG63" s="527"/>
      <c r="AH63" s="522"/>
      <c r="AI63" s="522"/>
    </row>
    <row r="64" spans="1:35" ht="45">
      <c r="A64" s="430" t="s">
        <v>596</v>
      </c>
      <c r="B64" s="431" t="s">
        <v>597</v>
      </c>
      <c r="C64" s="441">
        <v>169.45</v>
      </c>
      <c r="D64" s="433" t="s">
        <v>500</v>
      </c>
      <c r="E64" s="432">
        <v>8950</v>
      </c>
      <c r="F64" s="432">
        <v>8941.81</v>
      </c>
      <c r="G64" s="441">
        <v>177.64</v>
      </c>
      <c r="H64" s="434" t="s">
        <v>500</v>
      </c>
      <c r="I64" s="181"/>
      <c r="J64" s="181"/>
      <c r="K64" s="181"/>
      <c r="L64" s="181"/>
      <c r="M64" s="181"/>
      <c r="N64" s="181"/>
      <c r="O64" s="181"/>
      <c r="P64" s="181"/>
      <c r="Q64" s="181"/>
      <c r="R64" s="181"/>
      <c r="S64" s="426"/>
      <c r="T64" s="181"/>
      <c r="U64" s="181"/>
      <c r="V64" s="181"/>
      <c r="W64" s="181"/>
      <c r="X64" s="437">
        <f>-196.21</f>
        <v>-196.21</v>
      </c>
      <c r="Y64" s="522"/>
      <c r="Z64" s="525"/>
      <c r="AA64" s="526"/>
      <c r="AB64" s="528"/>
      <c r="AC64" s="527"/>
      <c r="AD64" s="527"/>
      <c r="AE64" s="527"/>
      <c r="AF64" s="528"/>
      <c r="AG64" s="527"/>
      <c r="AH64" s="522"/>
      <c r="AI64" s="522"/>
    </row>
    <row r="65" spans="1:35" ht="45">
      <c r="A65" s="430" t="s">
        <v>598</v>
      </c>
      <c r="B65" s="431" t="s">
        <v>599</v>
      </c>
      <c r="C65" s="441">
        <v>169.45</v>
      </c>
      <c r="D65" s="433" t="s">
        <v>500</v>
      </c>
      <c r="E65" s="432">
        <v>8950</v>
      </c>
      <c r="F65" s="432">
        <v>8941.81</v>
      </c>
      <c r="G65" s="441">
        <v>177.64</v>
      </c>
      <c r="H65" s="434" t="s">
        <v>500</v>
      </c>
      <c r="I65" s="181"/>
      <c r="J65" s="181"/>
      <c r="K65" s="181"/>
      <c r="L65" s="181"/>
      <c r="M65" s="181"/>
      <c r="N65" s="181"/>
      <c r="O65" s="181"/>
      <c r="P65" s="181"/>
      <c r="Q65" s="181"/>
      <c r="R65" s="181"/>
      <c r="S65" s="426"/>
      <c r="T65" s="181"/>
      <c r="U65" s="181"/>
      <c r="V65" s="181"/>
      <c r="W65" s="181"/>
      <c r="X65" s="437">
        <f t="shared" si="0"/>
        <v>0</v>
      </c>
      <c r="Y65" s="522"/>
      <c r="Z65" s="525"/>
      <c r="AA65" s="526"/>
      <c r="AB65" s="530"/>
      <c r="AC65" s="528"/>
      <c r="AD65" s="527"/>
      <c r="AE65" s="527"/>
      <c r="AF65" s="528"/>
      <c r="AG65" s="527"/>
      <c r="AH65" s="522"/>
      <c r="AI65" s="522"/>
    </row>
    <row r="66" spans="1:35" ht="60">
      <c r="A66" s="430" t="s">
        <v>600</v>
      </c>
      <c r="B66" s="431" t="s">
        <v>601</v>
      </c>
      <c r="C66" s="433" t="s">
        <v>500</v>
      </c>
      <c r="D66" s="433" t="s">
        <v>500</v>
      </c>
      <c r="E66" s="441">
        <v>682</v>
      </c>
      <c r="F66" s="441">
        <v>682</v>
      </c>
      <c r="G66" s="433" t="s">
        <v>500</v>
      </c>
      <c r="H66" s="434" t="s">
        <v>500</v>
      </c>
      <c r="I66" s="181"/>
      <c r="J66" s="181"/>
      <c r="K66" s="181"/>
      <c r="L66" s="181"/>
      <c r="M66" s="181"/>
      <c r="N66" s="181"/>
      <c r="O66" s="181"/>
      <c r="P66" s="181"/>
      <c r="Q66" s="181"/>
      <c r="R66" s="181"/>
      <c r="S66" s="426"/>
      <c r="T66" s="181"/>
      <c r="U66" s="181"/>
      <c r="V66" s="181"/>
      <c r="W66" s="181"/>
      <c r="X66" s="437">
        <f t="shared" si="0"/>
        <v>0</v>
      </c>
      <c r="Y66" s="522"/>
      <c r="Z66" s="525"/>
      <c r="AA66" s="526"/>
      <c r="AB66" s="528"/>
      <c r="AC66" s="527"/>
      <c r="AD66" s="527"/>
      <c r="AE66" s="527"/>
      <c r="AF66" s="528"/>
      <c r="AG66" s="527"/>
      <c r="AH66" s="522"/>
      <c r="AI66" s="522"/>
    </row>
    <row r="67" spans="1:35" ht="60">
      <c r="A67" s="430" t="s">
        <v>602</v>
      </c>
      <c r="B67" s="431" t="s">
        <v>601</v>
      </c>
      <c r="C67" s="444">
        <f>D61+D68+D70</f>
        <v>26963.550000000003</v>
      </c>
      <c r="D67" s="433" t="s">
        <v>500</v>
      </c>
      <c r="E67" s="441">
        <v>682</v>
      </c>
      <c r="F67" s="441">
        <v>682</v>
      </c>
      <c r="G67" s="433" t="s">
        <v>500</v>
      </c>
      <c r="H67" s="434" t="s">
        <v>500</v>
      </c>
      <c r="I67" s="181"/>
      <c r="J67" s="181"/>
      <c r="K67" s="181"/>
      <c r="L67" s="181"/>
      <c r="M67" s="181"/>
      <c r="N67" s="181"/>
      <c r="O67" s="181"/>
      <c r="P67" s="181"/>
      <c r="Q67" s="181"/>
      <c r="R67" s="181"/>
      <c r="S67" s="426"/>
      <c r="T67" s="181"/>
      <c r="U67" s="181"/>
      <c r="V67" s="181"/>
      <c r="W67" s="181"/>
      <c r="X67" s="437">
        <f t="shared" si="0"/>
        <v>0</v>
      </c>
      <c r="Y67" s="522"/>
      <c r="Z67" s="525"/>
      <c r="AA67" s="526"/>
      <c r="AB67" s="530"/>
      <c r="AC67" s="528"/>
      <c r="AD67" s="527"/>
      <c r="AE67" s="527"/>
      <c r="AF67" s="528"/>
      <c r="AG67" s="530"/>
      <c r="AH67" s="522"/>
      <c r="AI67" s="522"/>
    </row>
    <row r="68" spans="1:35" ht="30">
      <c r="A68" s="430" t="s">
        <v>603</v>
      </c>
      <c r="B68" s="431" t="s">
        <v>604</v>
      </c>
      <c r="C68" s="433" t="s">
        <v>500</v>
      </c>
      <c r="D68" s="432">
        <v>3795.96</v>
      </c>
      <c r="E68" s="432">
        <v>165720</v>
      </c>
      <c r="F68" s="432">
        <v>167964.09</v>
      </c>
      <c r="G68" s="433" t="s">
        <v>500</v>
      </c>
      <c r="H68" s="439">
        <v>6040.05</v>
      </c>
      <c r="I68" s="181" t="str">
        <f>АСС!F282</f>
        <v>L.65</v>
      </c>
      <c r="J68" s="435">
        <f>-H68</f>
        <v>-6040.05</v>
      </c>
      <c r="K68" s="181"/>
      <c r="L68" s="181"/>
      <c r="M68" s="181"/>
      <c r="N68" s="181"/>
      <c r="O68" s="181"/>
      <c r="P68" s="181"/>
      <c r="Q68" s="181"/>
      <c r="R68" s="181"/>
      <c r="S68" s="436">
        <f>J68</f>
        <v>-6040.05</v>
      </c>
      <c r="T68" s="435">
        <f>-'ОСВ 2020'!H73</f>
        <v>-7630.95</v>
      </c>
      <c r="U68" s="440"/>
      <c r="V68" s="181"/>
      <c r="W68" s="181"/>
      <c r="X68" s="437">
        <f t="shared" si="0"/>
        <v>-7630.95</v>
      </c>
      <c r="Y68" s="522"/>
      <c r="Z68" s="525"/>
      <c r="AA68" s="526"/>
      <c r="AB68" s="530"/>
      <c r="AC68" s="528"/>
      <c r="AD68" s="527"/>
      <c r="AE68" s="527"/>
      <c r="AF68" s="528"/>
      <c r="AG68" s="530"/>
      <c r="AH68" s="522"/>
      <c r="AI68" s="522"/>
    </row>
    <row r="69" spans="1:35" ht="45">
      <c r="A69" s="430" t="s">
        <v>605</v>
      </c>
      <c r="B69" s="431" t="s">
        <v>606</v>
      </c>
      <c r="C69" s="433" t="s">
        <v>500</v>
      </c>
      <c r="D69" s="432">
        <v>3795.96</v>
      </c>
      <c r="E69" s="432">
        <v>165720</v>
      </c>
      <c r="F69" s="432">
        <v>167964.09</v>
      </c>
      <c r="G69" s="433" t="s">
        <v>500</v>
      </c>
      <c r="H69" s="439">
        <v>6040.05</v>
      </c>
      <c r="I69" s="181"/>
      <c r="J69" s="181"/>
      <c r="K69" s="181"/>
      <c r="L69" s="181"/>
      <c r="M69" s="181"/>
      <c r="N69" s="181"/>
      <c r="O69" s="181"/>
      <c r="P69" s="181"/>
      <c r="Q69" s="181"/>
      <c r="R69" s="181"/>
      <c r="S69" s="426"/>
      <c r="T69" s="181"/>
      <c r="U69" s="181"/>
      <c r="V69" s="437">
        <f>U72+U37</f>
        <v>0</v>
      </c>
      <c r="W69" s="181"/>
      <c r="X69" s="437">
        <f t="shared" si="0"/>
        <v>0</v>
      </c>
      <c r="Y69" s="522"/>
      <c r="Z69" s="525"/>
      <c r="AA69" s="526"/>
      <c r="AB69" s="528"/>
      <c r="AC69" s="527"/>
      <c r="AD69" s="527"/>
      <c r="AE69" s="527"/>
      <c r="AF69" s="528"/>
      <c r="AG69" s="527"/>
      <c r="AH69" s="522"/>
      <c r="AI69" s="522"/>
    </row>
    <row r="70" spans="1:35" ht="36" customHeight="1">
      <c r="A70" s="430" t="s">
        <v>607</v>
      </c>
      <c r="B70" s="431" t="s">
        <v>608</v>
      </c>
      <c r="C70" s="433" t="s">
        <v>500</v>
      </c>
      <c r="D70" s="432">
        <v>9759.58</v>
      </c>
      <c r="E70" s="432">
        <v>590740.47999999998</v>
      </c>
      <c r="F70" s="432">
        <v>596108.27</v>
      </c>
      <c r="G70" s="433" t="s">
        <v>500</v>
      </c>
      <c r="H70" s="439">
        <v>15127.37</v>
      </c>
      <c r="I70" s="181" t="str">
        <f>АСС!F293</f>
        <v>L.66</v>
      </c>
      <c r="J70" s="435">
        <f>-H70</f>
        <v>-15127.37</v>
      </c>
      <c r="K70" s="181"/>
      <c r="L70" s="181"/>
      <c r="M70" s="181"/>
      <c r="N70" s="181"/>
      <c r="O70" s="181"/>
      <c r="P70" s="181"/>
      <c r="Q70" s="181"/>
      <c r="R70" s="181"/>
      <c r="S70" s="436">
        <f>J70</f>
        <v>-15127.37</v>
      </c>
      <c r="T70" s="181">
        <f>-'ОСВ 2020'!H75</f>
        <v>-19342.22</v>
      </c>
      <c r="U70" s="181"/>
      <c r="V70" s="181"/>
      <c r="W70" s="181"/>
      <c r="X70" s="437">
        <f t="shared" si="0"/>
        <v>-19342.22</v>
      </c>
      <c r="Y70" s="522"/>
      <c r="Z70" s="525"/>
      <c r="AA70" s="526"/>
      <c r="AB70" s="528"/>
      <c r="AC70" s="527"/>
      <c r="AD70" s="527"/>
      <c r="AE70" s="527"/>
      <c r="AF70" s="528"/>
      <c r="AG70" s="527"/>
      <c r="AH70" s="522"/>
      <c r="AI70" s="522"/>
    </row>
    <row r="71" spans="1:35" ht="30">
      <c r="A71" s="430" t="s">
        <v>609</v>
      </c>
      <c r="B71" s="431" t="s">
        <v>610</v>
      </c>
      <c r="C71" s="433" t="s">
        <v>500</v>
      </c>
      <c r="D71" s="432">
        <v>9759.58</v>
      </c>
      <c r="E71" s="432">
        <v>590740.47999999998</v>
      </c>
      <c r="F71" s="432">
        <v>596108.27</v>
      </c>
      <c r="G71" s="433" t="s">
        <v>500</v>
      </c>
      <c r="H71" s="439">
        <v>15127.37</v>
      </c>
      <c r="I71" s="181"/>
      <c r="J71" s="181"/>
      <c r="K71" s="181"/>
      <c r="L71" s="181"/>
      <c r="M71" s="181"/>
      <c r="N71" s="181"/>
      <c r="O71" s="181"/>
      <c r="P71" s="181"/>
      <c r="Q71" s="181"/>
      <c r="R71" s="181"/>
      <c r="S71" s="426"/>
      <c r="T71" s="181"/>
      <c r="U71" s="437"/>
      <c r="V71" s="181"/>
      <c r="W71" s="181"/>
      <c r="X71" s="437">
        <f t="shared" si="0"/>
        <v>0</v>
      </c>
      <c r="Y71" s="522"/>
      <c r="Z71" s="525"/>
      <c r="AA71" s="526"/>
      <c r="AB71" s="528"/>
      <c r="AC71" s="527"/>
      <c r="AD71" s="527"/>
      <c r="AE71" s="527"/>
      <c r="AF71" s="528"/>
      <c r="AG71" s="527"/>
      <c r="AH71" s="522"/>
      <c r="AI71" s="522"/>
    </row>
    <row r="72" spans="1:35" ht="30">
      <c r="A72" s="430" t="s">
        <v>611</v>
      </c>
      <c r="B72" s="431" t="s">
        <v>612</v>
      </c>
      <c r="C72" s="433" t="s">
        <v>500</v>
      </c>
      <c r="D72" s="432">
        <v>337337.65</v>
      </c>
      <c r="E72" s="432">
        <v>2790902.38</v>
      </c>
      <c r="F72" s="432">
        <v>3779667.35</v>
      </c>
      <c r="G72" s="433" t="s">
        <v>500</v>
      </c>
      <c r="H72" s="439">
        <v>1326102.6200000001</v>
      </c>
      <c r="I72" s="181" t="str">
        <f>АСС!F299</f>
        <v>L.68</v>
      </c>
      <c r="J72" s="435">
        <f>-H72</f>
        <v>-1326102.6200000001</v>
      </c>
      <c r="K72" s="181"/>
      <c r="L72" s="181"/>
      <c r="M72" s="181"/>
      <c r="N72" s="181"/>
      <c r="O72" s="181"/>
      <c r="P72" s="183">
        <f>-'Сводная ОА'!I28</f>
        <v>-890000</v>
      </c>
      <c r="Q72" s="181"/>
      <c r="R72" s="183">
        <f>'Сводная ОА'!I25</f>
        <v>890000</v>
      </c>
      <c r="S72" s="436">
        <f>J72+P72+R72</f>
        <v>-1326102.6200000001</v>
      </c>
      <c r="T72" s="181">
        <f>-'ОСВ 2020'!H77</f>
        <v>-2159571.0099999998</v>
      </c>
      <c r="U72" s="437"/>
      <c r="V72" s="181"/>
      <c r="W72" s="181"/>
      <c r="X72" s="437">
        <f t="shared" si="0"/>
        <v>-2159571.0099999998</v>
      </c>
      <c r="Y72" s="522"/>
      <c r="Z72" s="525"/>
      <c r="AA72" s="526"/>
      <c r="AB72" s="528"/>
      <c r="AC72" s="527"/>
      <c r="AD72" s="527"/>
      <c r="AE72" s="527"/>
      <c r="AF72" s="528"/>
      <c r="AG72" s="527"/>
      <c r="AH72" s="522"/>
      <c r="AI72" s="522"/>
    </row>
    <row r="73" spans="1:35" ht="45">
      <c r="A73" s="430" t="s">
        <v>613</v>
      </c>
      <c r="B73" s="431" t="s">
        <v>614</v>
      </c>
      <c r="C73" s="433" t="s">
        <v>500</v>
      </c>
      <c r="D73" s="432">
        <v>337337.65</v>
      </c>
      <c r="E73" s="432">
        <v>2790902.38</v>
      </c>
      <c r="F73" s="432">
        <v>3779667.35</v>
      </c>
      <c r="G73" s="433" t="s">
        <v>500</v>
      </c>
      <c r="H73" s="439">
        <v>1326102.6200000001</v>
      </c>
      <c r="I73" s="181"/>
      <c r="J73" s="181"/>
      <c r="K73" s="181"/>
      <c r="L73" s="181"/>
      <c r="M73" s="181"/>
      <c r="N73" s="181"/>
      <c r="O73" s="181"/>
      <c r="P73" s="183"/>
      <c r="Q73" s="181"/>
      <c r="R73" s="183"/>
      <c r="S73" s="426"/>
      <c r="T73" s="181"/>
      <c r="U73" s="181"/>
      <c r="V73" s="181"/>
      <c r="W73" s="181"/>
      <c r="X73" s="437">
        <f t="shared" si="0"/>
        <v>0</v>
      </c>
      <c r="Y73" s="522"/>
      <c r="Z73" s="525"/>
      <c r="AA73" s="526"/>
      <c r="AB73" s="528"/>
      <c r="AC73" s="527"/>
      <c r="AD73" s="527"/>
      <c r="AE73" s="527"/>
      <c r="AF73" s="528"/>
      <c r="AG73" s="527"/>
      <c r="AH73" s="522"/>
      <c r="AI73" s="522"/>
    </row>
    <row r="74" spans="1:35" ht="60">
      <c r="A74" s="430" t="s">
        <v>615</v>
      </c>
      <c r="B74" s="431" t="s">
        <v>616</v>
      </c>
      <c r="C74" s="433" t="s">
        <v>500</v>
      </c>
      <c r="D74" s="432">
        <v>337337.65</v>
      </c>
      <c r="E74" s="432">
        <v>2790902.38</v>
      </c>
      <c r="F74" s="432">
        <v>3779667.35</v>
      </c>
      <c r="G74" s="433" t="s">
        <v>500</v>
      </c>
      <c r="H74" s="439">
        <v>1326102.6200000001</v>
      </c>
      <c r="I74" s="181"/>
      <c r="J74" s="181"/>
      <c r="K74" s="181"/>
      <c r="L74" s="181"/>
      <c r="M74" s="181"/>
      <c r="N74" s="181"/>
      <c r="O74" s="181"/>
      <c r="P74" s="181"/>
      <c r="Q74" s="181"/>
      <c r="R74" s="181"/>
      <c r="S74" s="426"/>
      <c r="T74" s="181"/>
      <c r="U74" s="181"/>
      <c r="V74" s="181"/>
      <c r="W74" s="181"/>
      <c r="X74" s="437"/>
      <c r="Y74" s="522"/>
      <c r="Z74" s="525"/>
      <c r="AA74" s="526"/>
      <c r="AB74" s="528"/>
      <c r="AC74" s="528"/>
      <c r="AD74" s="527"/>
      <c r="AE74" s="527"/>
      <c r="AF74" s="528"/>
      <c r="AG74" s="528"/>
      <c r="AH74" s="522"/>
      <c r="AI74" s="522"/>
    </row>
    <row r="75" spans="1:35" ht="30">
      <c r="A75" s="430" t="s">
        <v>617</v>
      </c>
      <c r="B75" s="431" t="s">
        <v>618</v>
      </c>
      <c r="C75" s="433" t="s">
        <v>500</v>
      </c>
      <c r="D75" s="433" t="s">
        <v>500</v>
      </c>
      <c r="E75" s="432">
        <v>4380498.26</v>
      </c>
      <c r="F75" s="432">
        <v>4380498.26</v>
      </c>
      <c r="G75" s="433" t="s">
        <v>500</v>
      </c>
      <c r="H75" s="434" t="s">
        <v>500</v>
      </c>
      <c r="I75" s="181" t="str">
        <f>АСС!F316</f>
        <v>P.70</v>
      </c>
      <c r="J75" s="435">
        <f>-D99</f>
        <v>-4380498.26</v>
      </c>
      <c r="K75" s="181"/>
      <c r="L75" s="181"/>
      <c r="M75" s="181"/>
      <c r="N75" s="181"/>
      <c r="O75" s="181"/>
      <c r="P75" s="181"/>
      <c r="Q75" s="181"/>
      <c r="R75" s="181"/>
      <c r="S75" s="436">
        <f>J75</f>
        <v>-4380498.26</v>
      </c>
      <c r="T75" s="435">
        <f>-R99</f>
        <v>-8742569.0199999996</v>
      </c>
      <c r="U75" s="435"/>
      <c r="V75" s="181"/>
      <c r="W75" s="181"/>
      <c r="X75" s="437">
        <f t="shared" ref="X75:X86" si="1">T75+U75+V75+W75</f>
        <v>-8742569.0199999996</v>
      </c>
      <c r="Y75" s="522"/>
      <c r="Z75" s="525"/>
      <c r="AA75" s="526"/>
      <c r="AB75" s="528"/>
      <c r="AC75" s="528"/>
      <c r="AD75" s="527"/>
      <c r="AE75" s="527"/>
      <c r="AF75" s="528"/>
      <c r="AG75" s="528"/>
      <c r="AH75" s="522"/>
      <c r="AI75" s="522"/>
    </row>
    <row r="76" spans="1:35" ht="30" customHeight="1">
      <c r="A76" s="430" t="s">
        <v>619</v>
      </c>
      <c r="B76" s="431" t="s">
        <v>620</v>
      </c>
      <c r="C76" s="433" t="s">
        <v>500</v>
      </c>
      <c r="D76" s="433" t="s">
        <v>500</v>
      </c>
      <c r="E76" s="432">
        <v>19680.02</v>
      </c>
      <c r="F76" s="432">
        <v>19680.02</v>
      </c>
      <c r="G76" s="433" t="s">
        <v>500</v>
      </c>
      <c r="H76" s="434" t="s">
        <v>500</v>
      </c>
      <c r="I76" s="181"/>
      <c r="J76" s="181"/>
      <c r="K76" s="181"/>
      <c r="L76" s="181"/>
      <c r="M76" s="181"/>
      <c r="N76" s="181"/>
      <c r="O76" s="181"/>
      <c r="P76" s="181"/>
      <c r="Q76" s="181"/>
      <c r="R76" s="181"/>
      <c r="S76" s="426"/>
      <c r="T76" s="181"/>
      <c r="U76" s="181"/>
      <c r="V76" s="181"/>
      <c r="W76" s="181"/>
      <c r="X76" s="437">
        <f t="shared" si="1"/>
        <v>0</v>
      </c>
      <c r="Y76" s="522"/>
      <c r="Z76" s="525"/>
      <c r="AA76" s="526"/>
      <c r="AB76" s="528"/>
      <c r="AC76" s="527"/>
      <c r="AD76" s="527"/>
      <c r="AE76" s="527"/>
      <c r="AF76" s="528"/>
      <c r="AG76" s="527"/>
      <c r="AH76" s="522"/>
      <c r="AI76" s="522"/>
    </row>
    <row r="77" spans="1:35" ht="30">
      <c r="A77" s="430" t="s">
        <v>621</v>
      </c>
      <c r="B77" s="431" t="s">
        <v>622</v>
      </c>
      <c r="C77" s="433" t="s">
        <v>500</v>
      </c>
      <c r="D77" s="433" t="s">
        <v>500</v>
      </c>
      <c r="E77" s="432">
        <v>4360818.24</v>
      </c>
      <c r="F77" s="432">
        <v>4360818.24</v>
      </c>
      <c r="G77" s="433" t="s">
        <v>500</v>
      </c>
      <c r="H77" s="434" t="s">
        <v>500</v>
      </c>
      <c r="I77" s="181"/>
      <c r="J77" s="181"/>
      <c r="K77" s="181"/>
      <c r="L77" s="181"/>
      <c r="M77" s="181"/>
      <c r="N77" s="181"/>
      <c r="O77" s="181"/>
      <c r="P77" s="181"/>
      <c r="Q77" s="181"/>
      <c r="R77" s="181"/>
      <c r="S77" s="426"/>
      <c r="T77" s="181"/>
      <c r="U77" s="181"/>
      <c r="V77" s="181"/>
      <c r="W77" s="181"/>
      <c r="X77" s="437">
        <f t="shared" si="1"/>
        <v>0</v>
      </c>
      <c r="Y77" s="522"/>
      <c r="Z77" s="525"/>
      <c r="AA77" s="526"/>
      <c r="AB77" s="528"/>
      <c r="AC77" s="527"/>
      <c r="AD77" s="527"/>
      <c r="AE77" s="527"/>
      <c r="AF77" s="528"/>
      <c r="AG77" s="527"/>
      <c r="AH77" s="522"/>
      <c r="AI77" s="522"/>
    </row>
    <row r="78" spans="1:35" ht="30">
      <c r="A78" s="430" t="s">
        <v>623</v>
      </c>
      <c r="B78" s="431" t="s">
        <v>624</v>
      </c>
      <c r="C78" s="433" t="s">
        <v>500</v>
      </c>
      <c r="D78" s="433" t="s">
        <v>500</v>
      </c>
      <c r="E78" s="432">
        <v>4563049.0599999996</v>
      </c>
      <c r="F78" s="432">
        <v>4563049.0599999996</v>
      </c>
      <c r="G78" s="433" t="s">
        <v>500</v>
      </c>
      <c r="H78" s="434" t="s">
        <v>500</v>
      </c>
      <c r="I78" s="181"/>
      <c r="J78" s="181"/>
      <c r="K78" s="181"/>
      <c r="L78" s="181"/>
      <c r="M78" s="181"/>
      <c r="N78" s="181"/>
      <c r="O78" s="181"/>
      <c r="P78" s="181"/>
      <c r="Q78" s="181"/>
      <c r="R78" s="181"/>
      <c r="S78" s="426"/>
      <c r="T78" s="181"/>
      <c r="U78" s="181"/>
      <c r="V78" s="181"/>
      <c r="W78" s="181"/>
      <c r="X78" s="437">
        <f t="shared" si="1"/>
        <v>0</v>
      </c>
      <c r="Y78" s="522"/>
      <c r="Z78" s="525"/>
      <c r="AA78" s="526"/>
      <c r="AB78" s="528"/>
      <c r="AC78" s="528"/>
      <c r="AD78" s="527"/>
      <c r="AE78" s="527"/>
      <c r="AF78" s="528"/>
      <c r="AG78" s="528"/>
      <c r="AH78" s="522"/>
      <c r="AI78" s="522"/>
    </row>
    <row r="79" spans="1:35" ht="45">
      <c r="A79" s="430" t="s">
        <v>625</v>
      </c>
      <c r="B79" s="431" t="s">
        <v>626</v>
      </c>
      <c r="C79" s="433" t="s">
        <v>500</v>
      </c>
      <c r="D79" s="433" t="s">
        <v>500</v>
      </c>
      <c r="E79" s="432">
        <v>4563049.0599999996</v>
      </c>
      <c r="F79" s="432">
        <v>4563049.0599999996</v>
      </c>
      <c r="G79" s="433" t="s">
        <v>500</v>
      </c>
      <c r="H79" s="434" t="s">
        <v>500</v>
      </c>
      <c r="I79" s="181"/>
      <c r="J79" s="181"/>
      <c r="K79" s="181"/>
      <c r="L79" s="181"/>
      <c r="M79" s="181"/>
      <c r="N79" s="181"/>
      <c r="O79" s="181"/>
      <c r="P79" s="181"/>
      <c r="Q79" s="181"/>
      <c r="R79" s="181"/>
      <c r="S79" s="426"/>
      <c r="T79" s="181"/>
      <c r="U79" s="181"/>
      <c r="V79" s="181"/>
      <c r="W79" s="181"/>
      <c r="X79" s="437">
        <f t="shared" si="1"/>
        <v>0</v>
      </c>
      <c r="Y79" s="522"/>
      <c r="Z79" s="525"/>
      <c r="AA79" s="526"/>
      <c r="AB79" s="528"/>
      <c r="AC79" s="528"/>
      <c r="AD79" s="527"/>
      <c r="AE79" s="527"/>
      <c r="AF79" s="528"/>
      <c r="AG79" s="528"/>
      <c r="AH79" s="522"/>
      <c r="AI79" s="522"/>
    </row>
    <row r="80" spans="1:35" ht="30">
      <c r="A80" s="430" t="s">
        <v>627</v>
      </c>
      <c r="B80" s="431" t="s">
        <v>628</v>
      </c>
      <c r="C80" s="433" t="s">
        <v>500</v>
      </c>
      <c r="D80" s="433" t="s">
        <v>500</v>
      </c>
      <c r="E80" s="432">
        <v>3614054.33</v>
      </c>
      <c r="F80" s="432">
        <v>3614054.33</v>
      </c>
      <c r="G80" s="433" t="s">
        <v>500</v>
      </c>
      <c r="H80" s="434" t="s">
        <v>500</v>
      </c>
      <c r="I80" s="181" t="str">
        <f>АСС!F382</f>
        <v>P.90</v>
      </c>
      <c r="J80" s="435">
        <f>C100</f>
        <v>3614054.33</v>
      </c>
      <c r="K80" s="181"/>
      <c r="L80" s="181"/>
      <c r="M80" s="181"/>
      <c r="N80" s="437">
        <f>'Сводная ОА'!F24</f>
        <v>753236.47212287562</v>
      </c>
      <c r="O80" s="181"/>
      <c r="P80" s="181"/>
      <c r="Q80" s="181"/>
      <c r="R80" s="183">
        <f>-'Сводная ОА'!I25</f>
        <v>-890000</v>
      </c>
      <c r="S80" s="438">
        <f>J80+N80+R80</f>
        <v>3477290.802122876</v>
      </c>
      <c r="T80" s="435">
        <f>Q102</f>
        <v>7695333.7800000003</v>
      </c>
      <c r="U80" s="183">
        <f>'Сводная ОА'!L11</f>
        <v>981042.5641089757</v>
      </c>
      <c r="V80" s="181"/>
      <c r="W80" s="181"/>
      <c r="X80" s="437">
        <f>T80</f>
        <v>7695333.7800000003</v>
      </c>
      <c r="Y80" s="522"/>
      <c r="Z80" s="525"/>
      <c r="AA80" s="526"/>
      <c r="AB80" s="528"/>
      <c r="AC80" s="528"/>
      <c r="AD80" s="527"/>
      <c r="AE80" s="527"/>
      <c r="AF80" s="528"/>
      <c r="AG80" s="528"/>
      <c r="AH80" s="522"/>
      <c r="AI80" s="522"/>
    </row>
    <row r="81" spans="1:35" ht="30">
      <c r="A81" s="430" t="s">
        <v>629</v>
      </c>
      <c r="B81" s="431" t="s">
        <v>630</v>
      </c>
      <c r="C81" s="433" t="s">
        <v>500</v>
      </c>
      <c r="D81" s="433" t="s">
        <v>500</v>
      </c>
      <c r="E81" s="432">
        <v>24323.8</v>
      </c>
      <c r="F81" s="432">
        <v>24323.8</v>
      </c>
      <c r="G81" s="433" t="s">
        <v>500</v>
      </c>
      <c r="H81" s="434" t="s">
        <v>500</v>
      </c>
      <c r="I81" s="181"/>
      <c r="J81" s="181"/>
      <c r="K81" s="181"/>
      <c r="L81" s="181"/>
      <c r="M81" s="181"/>
      <c r="N81" s="181"/>
      <c r="O81" s="181"/>
      <c r="P81" s="181"/>
      <c r="Q81" s="181"/>
      <c r="R81" s="181"/>
      <c r="S81" s="426"/>
      <c r="T81" s="181"/>
      <c r="U81" s="181"/>
      <c r="V81" s="181"/>
      <c r="W81" s="181"/>
      <c r="X81" s="437">
        <f t="shared" si="1"/>
        <v>0</v>
      </c>
      <c r="Y81" s="522"/>
      <c r="Z81" s="525"/>
      <c r="AA81" s="526"/>
      <c r="AB81" s="528"/>
      <c r="AC81" s="528"/>
      <c r="AD81" s="527"/>
      <c r="AE81" s="527"/>
      <c r="AF81" s="528"/>
      <c r="AG81" s="528"/>
      <c r="AH81" s="522"/>
      <c r="AI81" s="522"/>
    </row>
    <row r="82" spans="1:35" ht="45">
      <c r="A82" s="430" t="s">
        <v>631</v>
      </c>
      <c r="B82" s="431" t="s">
        <v>632</v>
      </c>
      <c r="C82" s="433" t="s">
        <v>500</v>
      </c>
      <c r="D82" s="433" t="s">
        <v>500</v>
      </c>
      <c r="E82" s="432">
        <v>3589730.53</v>
      </c>
      <c r="F82" s="432">
        <v>3589730.53</v>
      </c>
      <c r="G82" s="433" t="s">
        <v>500</v>
      </c>
      <c r="H82" s="434" t="s">
        <v>500</v>
      </c>
      <c r="I82" s="181"/>
      <c r="J82" s="181"/>
      <c r="K82" s="181"/>
      <c r="L82" s="181"/>
      <c r="M82" s="181"/>
      <c r="N82" s="181"/>
      <c r="O82" s="181"/>
      <c r="P82" s="181"/>
      <c r="Q82" s="181"/>
      <c r="R82" s="181"/>
      <c r="S82" s="426"/>
      <c r="T82" s="181"/>
      <c r="U82" s="181"/>
      <c r="V82" s="181"/>
      <c r="W82" s="181"/>
      <c r="X82" s="437">
        <f t="shared" si="1"/>
        <v>0</v>
      </c>
      <c r="Y82" s="522"/>
      <c r="Z82" s="525"/>
      <c r="AA82" s="526"/>
      <c r="AB82" s="528"/>
      <c r="AC82" s="528"/>
      <c r="AD82" s="527"/>
      <c r="AE82" s="527"/>
      <c r="AF82" s="528"/>
      <c r="AG82" s="528"/>
      <c r="AH82" s="522"/>
      <c r="AI82" s="522"/>
    </row>
    <row r="83" spans="1:35" ht="30">
      <c r="A83" s="430" t="s">
        <v>633</v>
      </c>
      <c r="B83" s="431" t="s">
        <v>634</v>
      </c>
      <c r="C83" s="433" t="s">
        <v>500</v>
      </c>
      <c r="D83" s="433" t="s">
        <v>500</v>
      </c>
      <c r="E83" s="432">
        <v>364644.28</v>
      </c>
      <c r="F83" s="432">
        <v>364644.28</v>
      </c>
      <c r="G83" s="433" t="s">
        <v>500</v>
      </c>
      <c r="H83" s="434" t="s">
        <v>500</v>
      </c>
      <c r="I83" s="181" t="str">
        <f>АСС!F408</f>
        <v>P.92</v>
      </c>
      <c r="J83" s="435">
        <f>C101</f>
        <v>364635.28</v>
      </c>
      <c r="K83" s="181"/>
      <c r="L83" s="181"/>
      <c r="M83" s="181"/>
      <c r="N83" s="181"/>
      <c r="O83" s="181"/>
      <c r="P83" s="181"/>
      <c r="Q83" s="181"/>
      <c r="R83" s="181"/>
      <c r="S83" s="436">
        <f>J83-87458.56</f>
        <v>277176.72000000003</v>
      </c>
      <c r="T83" s="435">
        <f>Q105</f>
        <v>499628.83</v>
      </c>
      <c r="U83" s="435"/>
      <c r="V83" s="181"/>
      <c r="W83" s="181"/>
      <c r="X83" s="437">
        <f>T83+U83+V83+W83-X88</f>
        <v>438390.30000000005</v>
      </c>
      <c r="Y83" s="522"/>
      <c r="Z83" s="525"/>
      <c r="AA83" s="526"/>
      <c r="AB83" s="528"/>
      <c r="AC83" s="528"/>
      <c r="AD83" s="527"/>
      <c r="AE83" s="527"/>
      <c r="AF83" s="528"/>
      <c r="AG83" s="528"/>
      <c r="AH83" s="522"/>
      <c r="AI83" s="522"/>
    </row>
    <row r="84" spans="1:35" ht="45">
      <c r="A84" s="430" t="s">
        <v>635</v>
      </c>
      <c r="B84" s="431" t="s">
        <v>636</v>
      </c>
      <c r="C84" s="433" t="s">
        <v>500</v>
      </c>
      <c r="D84" s="433" t="s">
        <v>500</v>
      </c>
      <c r="E84" s="432">
        <v>3377.33</v>
      </c>
      <c r="F84" s="432">
        <v>3377.33</v>
      </c>
      <c r="G84" s="433" t="s">
        <v>500</v>
      </c>
      <c r="H84" s="434" t="s">
        <v>500</v>
      </c>
      <c r="I84" s="181" t="str">
        <f>АСС!F436</f>
        <v>P.94</v>
      </c>
      <c r="J84" s="435">
        <f>C102</f>
        <v>3377.33</v>
      </c>
      <c r="K84" s="181"/>
      <c r="L84" s="181"/>
      <c r="M84" s="181"/>
      <c r="N84" s="181"/>
      <c r="O84" s="181"/>
      <c r="P84" s="181"/>
      <c r="Q84" s="181"/>
      <c r="R84" s="181"/>
      <c r="S84" s="436">
        <f>J84</f>
        <v>3377.33</v>
      </c>
      <c r="T84" s="435">
        <f>Q106</f>
        <v>7977.41</v>
      </c>
      <c r="U84" s="435"/>
      <c r="V84" s="181"/>
      <c r="W84" s="181"/>
      <c r="X84" s="437">
        <f t="shared" si="1"/>
        <v>7977.41</v>
      </c>
      <c r="Y84" s="522"/>
      <c r="Z84" s="525"/>
      <c r="AA84" s="526"/>
      <c r="AB84" s="528"/>
      <c r="AC84" s="528"/>
      <c r="AD84" s="527"/>
      <c r="AE84" s="527"/>
      <c r="AF84" s="528"/>
      <c r="AG84" s="528"/>
      <c r="AH84" s="522"/>
      <c r="AI84" s="522"/>
    </row>
    <row r="85" spans="1:35" ht="30">
      <c r="A85" s="430" t="s">
        <v>637</v>
      </c>
      <c r="B85" s="431" t="s">
        <v>638</v>
      </c>
      <c r="C85" s="433" t="s">
        <v>500</v>
      </c>
      <c r="D85" s="433" t="s">
        <v>500</v>
      </c>
      <c r="E85" s="441">
        <v>682</v>
      </c>
      <c r="F85" s="441">
        <v>682</v>
      </c>
      <c r="G85" s="433" t="s">
        <v>500</v>
      </c>
      <c r="H85" s="434" t="s">
        <v>500</v>
      </c>
      <c r="I85" s="181"/>
      <c r="J85" s="181"/>
      <c r="K85" s="181"/>
      <c r="L85" s="181"/>
      <c r="M85" s="181"/>
      <c r="N85" s="181"/>
      <c r="O85" s="181"/>
      <c r="P85" s="181"/>
      <c r="Q85" s="181"/>
      <c r="R85" s="181"/>
      <c r="S85" s="426"/>
      <c r="T85" s="181"/>
      <c r="U85" s="181"/>
      <c r="V85" s="181"/>
      <c r="W85" s="181"/>
      <c r="X85" s="437">
        <f t="shared" si="1"/>
        <v>0</v>
      </c>
      <c r="Y85" s="522"/>
      <c r="Z85" s="525"/>
      <c r="AA85" s="526"/>
      <c r="AB85" s="528"/>
      <c r="AC85" s="528"/>
      <c r="AD85" s="527"/>
      <c r="AE85" s="527"/>
      <c r="AF85" s="528"/>
      <c r="AG85" s="528"/>
      <c r="AH85" s="522"/>
      <c r="AI85" s="522"/>
    </row>
    <row r="86" spans="1:35" ht="45">
      <c r="A86" s="430" t="s">
        <v>639</v>
      </c>
      <c r="B86" s="431" t="s">
        <v>636</v>
      </c>
      <c r="C86" s="433" t="s">
        <v>500</v>
      </c>
      <c r="D86" s="433" t="s">
        <v>500</v>
      </c>
      <c r="E86" s="432">
        <v>2695.33</v>
      </c>
      <c r="F86" s="432">
        <v>2695.33</v>
      </c>
      <c r="G86" s="433" t="s">
        <v>500</v>
      </c>
      <c r="H86" s="434" t="s">
        <v>500</v>
      </c>
      <c r="I86" s="181"/>
      <c r="J86" s="181"/>
      <c r="K86" s="181"/>
      <c r="L86" s="181"/>
      <c r="M86" s="181"/>
      <c r="N86" s="181"/>
      <c r="O86" s="181"/>
      <c r="P86" s="181"/>
      <c r="Q86" s="181"/>
      <c r="R86" s="181"/>
      <c r="S86" s="426"/>
      <c r="T86" s="181"/>
      <c r="U86" s="181"/>
      <c r="V86" s="181"/>
      <c r="W86" s="181"/>
      <c r="X86" s="437">
        <f t="shared" si="1"/>
        <v>0</v>
      </c>
      <c r="Y86" s="522"/>
      <c r="Z86" s="525"/>
      <c r="AA86" s="526"/>
      <c r="AB86" s="528"/>
      <c r="AC86" s="528"/>
      <c r="AD86" s="527"/>
      <c r="AE86" s="527"/>
      <c r="AF86" s="528"/>
      <c r="AG86" s="528"/>
      <c r="AH86" s="522"/>
      <c r="AI86" s="522"/>
    </row>
    <row r="87" spans="1:35">
      <c r="A87" s="445">
        <v>95</v>
      </c>
      <c r="B87" s="446" t="s">
        <v>1398</v>
      </c>
      <c r="C87" s="447"/>
      <c r="D87" s="447"/>
      <c r="E87" s="448"/>
      <c r="F87" s="448"/>
      <c r="G87" s="447"/>
      <c r="H87" s="449"/>
      <c r="I87" s="450"/>
      <c r="J87" s="450"/>
      <c r="K87" s="450"/>
      <c r="L87" s="450"/>
      <c r="M87" s="450"/>
      <c r="N87" s="450"/>
      <c r="O87" s="451">
        <f>'Сводная ОА'!F28</f>
        <v>67665.856705959333</v>
      </c>
      <c r="P87" s="451"/>
      <c r="Q87" s="450"/>
      <c r="R87" s="450"/>
      <c r="S87" s="452">
        <f>O87</f>
        <v>67665.856705959333</v>
      </c>
      <c r="T87" s="435">
        <f>Q108</f>
        <v>260653.45</v>
      </c>
      <c r="U87" s="437"/>
      <c r="V87" s="183">
        <f>'Сводная ОА'!R11</f>
        <v>214376.60282628291</v>
      </c>
      <c r="W87" s="181"/>
      <c r="X87" s="437">
        <f>T87</f>
        <v>260653.45</v>
      </c>
      <c r="Y87" s="522"/>
      <c r="Z87" s="525"/>
      <c r="AA87" s="526"/>
      <c r="AB87" s="528"/>
      <c r="AC87" s="528"/>
      <c r="AD87" s="527"/>
      <c r="AE87" s="527"/>
      <c r="AF87" s="528"/>
      <c r="AG87" s="528"/>
      <c r="AH87" s="522"/>
      <c r="AI87" s="522"/>
    </row>
    <row r="88" spans="1:35" ht="30.75" thickBot="1">
      <c r="A88" s="445">
        <v>98</v>
      </c>
      <c r="B88" s="446" t="s">
        <v>595</v>
      </c>
      <c r="C88" s="447"/>
      <c r="D88" s="447"/>
      <c r="E88" s="448"/>
      <c r="F88" s="448"/>
      <c r="G88" s="447"/>
      <c r="H88" s="449"/>
      <c r="I88" s="453"/>
      <c r="J88" s="454"/>
      <c r="K88" s="454"/>
      <c r="L88" s="454"/>
      <c r="M88" s="454"/>
      <c r="N88" s="454"/>
      <c r="O88" s="455"/>
      <c r="P88" s="455"/>
      <c r="Q88" s="454"/>
      <c r="R88" s="454"/>
      <c r="S88" s="456">
        <v>87458.559999999998</v>
      </c>
      <c r="T88" s="181"/>
      <c r="U88" s="437"/>
      <c r="V88" s="181"/>
      <c r="W88" s="181"/>
      <c r="X88" s="437">
        <v>61238.53</v>
      </c>
      <c r="Y88" s="522"/>
      <c r="Z88" s="525"/>
      <c r="AA88" s="526"/>
      <c r="AB88" s="528"/>
      <c r="AC88" s="528"/>
      <c r="AD88" s="527"/>
      <c r="AE88" s="527"/>
      <c r="AF88" s="528"/>
      <c r="AG88" s="528"/>
      <c r="AH88" s="522"/>
      <c r="AI88" s="522"/>
    </row>
    <row r="89" spans="1:35" s="179" customFormat="1" ht="15.75" thickBot="1">
      <c r="A89" s="457"/>
      <c r="B89" s="458"/>
      <c r="C89" s="459">
        <v>1776548.32</v>
      </c>
      <c r="D89" s="459">
        <v>1776548.32</v>
      </c>
      <c r="E89" s="459">
        <v>89563574.700000003</v>
      </c>
      <c r="F89" s="459">
        <v>89563574.700000003</v>
      </c>
      <c r="G89" s="459">
        <v>3247625.06</v>
      </c>
      <c r="H89" s="460">
        <v>3247625.06</v>
      </c>
      <c r="I89" s="461"/>
      <c r="J89" s="462">
        <f>SUM(J6:J86)</f>
        <v>1.5825207810848951E-10</v>
      </c>
      <c r="K89" s="462"/>
      <c r="L89" s="462">
        <f t="shared" ref="L89:R89" si="2">SUM(L7:L87)</f>
        <v>-4.1909515857696533E-9</v>
      </c>
      <c r="M89" s="462">
        <f t="shared" si="2"/>
        <v>0</v>
      </c>
      <c r="N89" s="462">
        <f t="shared" si="2"/>
        <v>0</v>
      </c>
      <c r="O89" s="462">
        <f t="shared" si="2"/>
        <v>0</v>
      </c>
      <c r="P89" s="462">
        <f t="shared" si="2"/>
        <v>0</v>
      </c>
      <c r="Q89" s="462">
        <f t="shared" si="2"/>
        <v>0</v>
      </c>
      <c r="R89" s="462">
        <f t="shared" si="2"/>
        <v>0</v>
      </c>
      <c r="S89" s="463">
        <f>SUM(S7:S88)</f>
        <v>-2.7357600629329681E-9</v>
      </c>
      <c r="T89" s="189">
        <f>SUM(T8:T88)</f>
        <v>-278975.54999999917</v>
      </c>
      <c r="U89" s="189">
        <f>SUM(U6:U88)</f>
        <v>0</v>
      </c>
      <c r="V89" s="189">
        <f>SUM(V6:V88)</f>
        <v>0</v>
      </c>
      <c r="W89" s="189">
        <f>SUM(W6:W88)</f>
        <v>0</v>
      </c>
      <c r="X89" s="189">
        <f>SUM(X7:X88)</f>
        <v>-278975.55645673198</v>
      </c>
      <c r="Y89" s="531"/>
      <c r="Z89" s="525"/>
      <c r="AA89" s="526"/>
      <c r="AB89" s="528"/>
      <c r="AC89" s="528"/>
      <c r="AD89" s="527"/>
      <c r="AE89" s="527"/>
      <c r="AF89" s="528"/>
      <c r="AG89" s="528"/>
      <c r="AH89" s="531"/>
      <c r="AI89" s="531"/>
    </row>
    <row r="90" spans="1:35">
      <c r="Y90" s="522"/>
      <c r="Z90" s="525"/>
      <c r="AA90" s="526"/>
      <c r="AB90" s="528"/>
      <c r="AC90" s="528"/>
      <c r="AD90" s="527"/>
      <c r="AE90" s="527"/>
      <c r="AF90" s="528"/>
      <c r="AG90" s="528"/>
      <c r="AH90" s="522"/>
      <c r="AI90" s="522"/>
    </row>
    <row r="91" spans="1:35" ht="15.75" thickBot="1">
      <c r="F91" s="191" t="s">
        <v>1235</v>
      </c>
      <c r="U91" s="179"/>
      <c r="X91" s="179">
        <f>X89-T89</f>
        <v>-6.4567328081466258E-3</v>
      </c>
      <c r="Y91" s="522"/>
      <c r="Z91" s="525"/>
      <c r="AA91" s="526"/>
      <c r="AB91" s="528"/>
      <c r="AC91" s="528"/>
      <c r="AD91" s="527"/>
      <c r="AE91" s="527"/>
      <c r="AF91" s="528"/>
      <c r="AG91" s="528"/>
      <c r="AH91" s="522"/>
      <c r="AI91" s="522"/>
    </row>
    <row r="92" spans="1:35" ht="15.75">
      <c r="B92" s="770" t="s">
        <v>1236</v>
      </c>
      <c r="C92" s="770"/>
      <c r="D92" s="770"/>
      <c r="E92" s="770"/>
      <c r="F92" s="770"/>
      <c r="P92" s="127" t="s">
        <v>1237</v>
      </c>
      <c r="Q92" s="128"/>
      <c r="R92" s="128"/>
      <c r="S92" s="128"/>
      <c r="T92" s="128"/>
      <c r="U92" s="405"/>
      <c r="Y92" s="522"/>
      <c r="Z92" s="525"/>
      <c r="AA92" s="526"/>
      <c r="AB92" s="528"/>
      <c r="AC92" s="528"/>
      <c r="AD92" s="527"/>
      <c r="AE92" s="527"/>
      <c r="AF92" s="528"/>
      <c r="AG92" s="528"/>
      <c r="AH92" s="522"/>
      <c r="AI92" s="522"/>
    </row>
    <row r="93" spans="1:35" ht="16.5" thickBot="1">
      <c r="B93" s="464" t="s">
        <v>1237</v>
      </c>
      <c r="C93" s="422"/>
      <c r="D93" s="422"/>
      <c r="E93" s="422"/>
      <c r="F93" s="422"/>
      <c r="P93" s="127" t="s">
        <v>1581</v>
      </c>
      <c r="Q93" s="127"/>
      <c r="R93" s="128"/>
      <c r="S93" s="128"/>
      <c r="T93" s="128"/>
      <c r="U93" s="406"/>
      <c r="Y93" s="522"/>
      <c r="Z93" s="525"/>
      <c r="AA93" s="526"/>
      <c r="AB93" s="527"/>
      <c r="AC93" s="527"/>
      <c r="AD93" s="527"/>
      <c r="AE93" s="527"/>
      <c r="AF93" s="527"/>
      <c r="AG93" s="527"/>
      <c r="AH93" s="522"/>
      <c r="AI93" s="522"/>
    </row>
    <row r="94" spans="1:35" ht="16.5" thickBot="1">
      <c r="B94" s="464" t="s">
        <v>1238</v>
      </c>
      <c r="C94" s="464"/>
      <c r="D94" s="422"/>
      <c r="E94" s="422"/>
      <c r="F94" s="422"/>
      <c r="P94" s="495" t="s">
        <v>1239</v>
      </c>
      <c r="Q94" s="496" t="s">
        <v>1240</v>
      </c>
      <c r="R94" s="497" t="s">
        <v>1241</v>
      </c>
      <c r="S94" s="496" t="s">
        <v>1240</v>
      </c>
      <c r="T94" s="498" t="s">
        <v>1241</v>
      </c>
      <c r="U94" s="407"/>
      <c r="Y94" s="522"/>
      <c r="Z94" s="522"/>
      <c r="AA94" s="522"/>
      <c r="AB94" s="522"/>
      <c r="AC94" s="522"/>
      <c r="AD94" s="522"/>
      <c r="AE94" s="522"/>
      <c r="AF94" s="522"/>
      <c r="AG94" s="522"/>
      <c r="AH94" s="522"/>
      <c r="AI94" s="522"/>
    </row>
    <row r="95" spans="1:35" ht="15.75" thickBot="1">
      <c r="B95" s="465" t="s">
        <v>1239</v>
      </c>
      <c r="C95" s="466" t="s">
        <v>1240</v>
      </c>
      <c r="D95" s="467" t="s">
        <v>1241</v>
      </c>
      <c r="E95" s="466" t="s">
        <v>1240</v>
      </c>
      <c r="F95" s="468" t="s">
        <v>1241</v>
      </c>
      <c r="P95" s="499"/>
      <c r="Q95" s="500"/>
      <c r="R95" s="501"/>
      <c r="S95" s="502" t="s">
        <v>1242</v>
      </c>
      <c r="T95" s="503" t="s">
        <v>1242</v>
      </c>
      <c r="U95" s="408"/>
      <c r="Y95" s="522"/>
      <c r="Z95" s="522"/>
      <c r="AA95" s="522"/>
      <c r="AB95" s="522"/>
      <c r="AC95" s="522"/>
      <c r="AD95" s="522"/>
      <c r="AE95" s="522"/>
      <c r="AF95" s="522"/>
      <c r="AG95" s="522"/>
      <c r="AH95" s="522"/>
      <c r="AI95" s="522"/>
    </row>
    <row r="96" spans="1:35" ht="15.75" thickBot="1">
      <c r="B96" s="469"/>
      <c r="C96" s="470"/>
      <c r="D96" s="471"/>
      <c r="E96" s="472" t="s">
        <v>1242</v>
      </c>
      <c r="F96" s="473" t="s">
        <v>1242</v>
      </c>
      <c r="P96" s="504" t="s">
        <v>1243</v>
      </c>
      <c r="Q96" s="505" t="s">
        <v>500</v>
      </c>
      <c r="R96" s="506" t="s">
        <v>500</v>
      </c>
      <c r="S96" s="505" t="s">
        <v>500</v>
      </c>
      <c r="T96" s="507" t="s">
        <v>500</v>
      </c>
      <c r="U96" s="408"/>
      <c r="Y96" s="522"/>
      <c r="Z96" s="522"/>
      <c r="AA96" s="522"/>
      <c r="AB96" s="522"/>
      <c r="AC96" s="522"/>
      <c r="AD96" s="522"/>
      <c r="AE96" s="522"/>
      <c r="AF96" s="522"/>
      <c r="AG96" s="522"/>
      <c r="AH96" s="522"/>
      <c r="AI96" s="522"/>
    </row>
    <row r="97" spans="2:35">
      <c r="B97" s="474" t="s">
        <v>1243</v>
      </c>
      <c r="C97" s="475" t="s">
        <v>500</v>
      </c>
      <c r="D97" s="476" t="s">
        <v>500</v>
      </c>
      <c r="E97" s="475" t="s">
        <v>500</v>
      </c>
      <c r="F97" s="477" t="s">
        <v>500</v>
      </c>
      <c r="P97" s="508" t="s">
        <v>574</v>
      </c>
      <c r="Q97" s="509">
        <v>630997.77</v>
      </c>
      <c r="R97" s="510">
        <v>352022.22</v>
      </c>
      <c r="S97" s="511" t="s">
        <v>500</v>
      </c>
      <c r="T97" s="512" t="s">
        <v>500</v>
      </c>
      <c r="U97" s="409"/>
      <c r="Y97" s="522"/>
      <c r="Z97" s="522"/>
      <c r="AA97" s="522"/>
      <c r="AB97" s="522"/>
      <c r="AC97" s="522"/>
      <c r="AD97" s="522"/>
      <c r="AE97" s="522"/>
      <c r="AF97" s="522"/>
      <c r="AG97" s="522"/>
      <c r="AH97" s="522"/>
      <c r="AI97" s="522"/>
    </row>
    <row r="98" spans="2:35" ht="15.75" thickBot="1">
      <c r="B98" s="445" t="s">
        <v>574</v>
      </c>
      <c r="C98" s="478">
        <v>580982.12</v>
      </c>
      <c r="D98" s="479">
        <v>182550.8</v>
      </c>
      <c r="E98" s="480" t="s">
        <v>500</v>
      </c>
      <c r="F98" s="481" t="s">
        <v>500</v>
      </c>
      <c r="P98" s="508" t="s">
        <v>576</v>
      </c>
      <c r="Q98" s="509">
        <v>630997.77</v>
      </c>
      <c r="R98" s="510">
        <v>352022.22</v>
      </c>
      <c r="S98" s="511" t="s">
        <v>500</v>
      </c>
      <c r="T98" s="512" t="s">
        <v>500</v>
      </c>
      <c r="U98" s="410"/>
      <c r="Y98" s="522"/>
      <c r="Z98" s="522"/>
      <c r="AA98" s="522"/>
      <c r="AB98" s="522"/>
      <c r="AC98" s="522"/>
      <c r="AD98" s="522"/>
      <c r="AE98" s="522"/>
      <c r="AF98" s="522"/>
      <c r="AG98" s="522"/>
      <c r="AH98" s="522"/>
      <c r="AI98" s="522"/>
    </row>
    <row r="99" spans="2:35">
      <c r="B99" s="445" t="s">
        <v>617</v>
      </c>
      <c r="C99" s="480" t="s">
        <v>500</v>
      </c>
      <c r="D99" s="479">
        <v>4380498.26</v>
      </c>
      <c r="E99" s="480" t="s">
        <v>500</v>
      </c>
      <c r="F99" s="481" t="s">
        <v>500</v>
      </c>
      <c r="P99" s="508" t="s">
        <v>617</v>
      </c>
      <c r="Q99" s="511" t="s">
        <v>500</v>
      </c>
      <c r="R99" s="510">
        <v>8742569.0199999996</v>
      </c>
      <c r="S99" s="511" t="s">
        <v>500</v>
      </c>
      <c r="T99" s="512" t="s">
        <v>500</v>
      </c>
      <c r="U99" s="407"/>
      <c r="Y99" s="522"/>
      <c r="Z99" s="522"/>
      <c r="AA99" s="522"/>
      <c r="AB99" s="522"/>
      <c r="AC99" s="522"/>
      <c r="AD99" s="522"/>
      <c r="AE99" s="522"/>
      <c r="AF99" s="522"/>
      <c r="AG99" s="522"/>
      <c r="AH99" s="522"/>
      <c r="AI99" s="522"/>
    </row>
    <row r="100" spans="2:35">
      <c r="B100" s="445" t="s">
        <v>627</v>
      </c>
      <c r="C100" s="478">
        <v>3614054.33</v>
      </c>
      <c r="D100" s="191" t="s">
        <v>500</v>
      </c>
      <c r="E100" s="480" t="s">
        <v>500</v>
      </c>
      <c r="F100" s="481" t="s">
        <v>500</v>
      </c>
      <c r="P100" s="508" t="s">
        <v>619</v>
      </c>
      <c r="Q100" s="511" t="s">
        <v>500</v>
      </c>
      <c r="R100" s="510">
        <v>77345.52</v>
      </c>
      <c r="S100" s="511" t="s">
        <v>500</v>
      </c>
      <c r="T100" s="512" t="s">
        <v>500</v>
      </c>
      <c r="U100" s="408"/>
      <c r="Y100" s="522"/>
      <c r="Z100" s="522"/>
      <c r="AA100" s="522"/>
      <c r="AB100" s="522"/>
      <c r="AC100" s="522"/>
      <c r="AD100" s="522"/>
      <c r="AE100" s="522"/>
      <c r="AF100" s="522"/>
      <c r="AG100" s="522"/>
      <c r="AH100" s="522"/>
      <c r="AI100" s="522"/>
    </row>
    <row r="101" spans="2:35">
      <c r="B101" s="445" t="s">
        <v>633</v>
      </c>
      <c r="C101" s="478">
        <v>364635.28</v>
      </c>
      <c r="D101" s="191" t="s">
        <v>500</v>
      </c>
      <c r="E101" s="480" t="s">
        <v>500</v>
      </c>
      <c r="F101" s="481" t="s">
        <v>500</v>
      </c>
      <c r="P101" s="508" t="s">
        <v>621</v>
      </c>
      <c r="Q101" s="511" t="s">
        <v>500</v>
      </c>
      <c r="R101" s="510">
        <v>8665223.5</v>
      </c>
      <c r="S101" s="511" t="s">
        <v>500</v>
      </c>
      <c r="T101" s="512" t="s">
        <v>500</v>
      </c>
      <c r="U101" s="408"/>
      <c r="Y101" s="522"/>
      <c r="Z101" s="522"/>
      <c r="AA101" s="522"/>
      <c r="AB101" s="522"/>
      <c r="AC101" s="522"/>
      <c r="AD101" s="522"/>
      <c r="AE101" s="522"/>
      <c r="AF101" s="522"/>
      <c r="AG101" s="522"/>
      <c r="AH101" s="522"/>
      <c r="AI101" s="522"/>
    </row>
    <row r="102" spans="2:35">
      <c r="B102" s="445" t="s">
        <v>635</v>
      </c>
      <c r="C102" s="478">
        <v>3377.33</v>
      </c>
      <c r="D102" s="191" t="s">
        <v>500</v>
      </c>
      <c r="E102" s="480" t="s">
        <v>500</v>
      </c>
      <c r="F102" s="481" t="s">
        <v>500</v>
      </c>
      <c r="P102" s="508" t="s">
        <v>627</v>
      </c>
      <c r="Q102" s="509">
        <v>7695333.7800000003</v>
      </c>
      <c r="R102" s="125" t="s">
        <v>500</v>
      </c>
      <c r="S102" s="511" t="s">
        <v>500</v>
      </c>
      <c r="T102" s="512" t="s">
        <v>500</v>
      </c>
      <c r="U102" s="408"/>
      <c r="Y102" s="522"/>
      <c r="Z102" s="522"/>
      <c r="AA102" s="522"/>
      <c r="AB102" s="522"/>
      <c r="AC102" s="522"/>
      <c r="AD102" s="522"/>
      <c r="AE102" s="522"/>
      <c r="AF102" s="522"/>
      <c r="AG102" s="522"/>
      <c r="AH102" s="522"/>
      <c r="AI102" s="522"/>
    </row>
    <row r="103" spans="2:35">
      <c r="B103" s="482" t="s">
        <v>1244</v>
      </c>
      <c r="C103" s="483">
        <v>4563049.0599999996</v>
      </c>
      <c r="D103" s="439">
        <v>4563049.0599999996</v>
      </c>
      <c r="E103" s="194" t="s">
        <v>500</v>
      </c>
      <c r="F103" s="484" t="s">
        <v>500</v>
      </c>
      <c r="P103" s="508" t="s">
        <v>629</v>
      </c>
      <c r="Q103" s="509">
        <v>56930.559999999998</v>
      </c>
      <c r="R103" s="125" t="s">
        <v>500</v>
      </c>
      <c r="S103" s="511" t="s">
        <v>500</v>
      </c>
      <c r="T103" s="512" t="s">
        <v>500</v>
      </c>
      <c r="U103" s="408"/>
      <c r="Y103" s="522"/>
      <c r="Z103" s="522"/>
      <c r="AA103" s="522"/>
      <c r="AB103" s="522"/>
      <c r="AC103" s="522"/>
      <c r="AD103" s="522"/>
      <c r="AE103" s="522"/>
      <c r="AF103" s="522"/>
      <c r="AG103" s="522"/>
      <c r="AH103" s="522"/>
      <c r="AI103" s="522"/>
    </row>
    <row r="104" spans="2:35" ht="15.75" thickBot="1">
      <c r="B104" s="485" t="s">
        <v>1245</v>
      </c>
      <c r="C104" s="486" t="s">
        <v>500</v>
      </c>
      <c r="D104" s="487" t="s">
        <v>500</v>
      </c>
      <c r="E104" s="486" t="s">
        <v>500</v>
      </c>
      <c r="F104" s="488" t="s">
        <v>500</v>
      </c>
      <c r="P104" s="508" t="s">
        <v>631</v>
      </c>
      <c r="Q104" s="509">
        <v>7638403.2199999997</v>
      </c>
      <c r="R104" s="125" t="s">
        <v>500</v>
      </c>
      <c r="S104" s="511" t="s">
        <v>500</v>
      </c>
      <c r="T104" s="512" t="s">
        <v>500</v>
      </c>
      <c r="U104" s="408"/>
      <c r="Y104" s="522"/>
      <c r="Z104" s="522"/>
      <c r="AA104" s="522"/>
      <c r="AB104" s="522"/>
      <c r="AC104" s="522"/>
      <c r="AD104" s="522"/>
      <c r="AE104" s="522"/>
      <c r="AF104" s="522"/>
      <c r="AG104" s="522"/>
      <c r="AH104" s="522"/>
      <c r="AI104" s="522"/>
    </row>
    <row r="105" spans="2:35" ht="15.75" thickBot="1">
      <c r="P105" s="508" t="s">
        <v>633</v>
      </c>
      <c r="Q105" s="509">
        <v>499628.83</v>
      </c>
      <c r="R105" s="125" t="s">
        <v>500</v>
      </c>
      <c r="S105" s="511" t="s">
        <v>500</v>
      </c>
      <c r="T105" s="512" t="s">
        <v>500</v>
      </c>
      <c r="U105" s="408"/>
      <c r="Y105" s="522"/>
      <c r="Z105" s="522"/>
      <c r="AA105" s="522"/>
      <c r="AB105" s="522"/>
      <c r="AC105" s="522"/>
      <c r="AD105" s="522"/>
      <c r="AE105" s="522"/>
      <c r="AF105" s="522"/>
      <c r="AG105" s="522"/>
      <c r="AH105" s="522"/>
      <c r="AI105" s="522"/>
    </row>
    <row r="106" spans="2:35">
      <c r="D106" s="489">
        <f>C98-D98</f>
        <v>398431.32</v>
      </c>
      <c r="E106" s="490" t="s">
        <v>1247</v>
      </c>
      <c r="F106" s="490" t="s">
        <v>1246</v>
      </c>
      <c r="P106" s="508" t="s">
        <v>635</v>
      </c>
      <c r="Q106" s="509">
        <v>7977.41</v>
      </c>
      <c r="R106" s="125" t="s">
        <v>500</v>
      </c>
      <c r="S106" s="511" t="s">
        <v>500</v>
      </c>
      <c r="T106" s="512" t="s">
        <v>500</v>
      </c>
      <c r="U106" s="409"/>
      <c r="Y106" s="522"/>
      <c r="Z106" s="522"/>
      <c r="AA106" s="522"/>
      <c r="AB106" s="522"/>
      <c r="AC106" s="522"/>
      <c r="AD106" s="522"/>
      <c r="AE106" s="522"/>
      <c r="AF106" s="522"/>
      <c r="AG106" s="522"/>
      <c r="AH106" s="522"/>
      <c r="AI106" s="522"/>
    </row>
    <row r="107" spans="2:35" ht="15.75" thickBot="1">
      <c r="D107" s="489">
        <f>D106-K50</f>
        <v>24294.490000000049</v>
      </c>
      <c r="P107" s="508" t="s">
        <v>639</v>
      </c>
      <c r="Q107" s="509">
        <v>7977.41</v>
      </c>
      <c r="R107" s="125" t="s">
        <v>500</v>
      </c>
      <c r="S107" s="511" t="s">
        <v>500</v>
      </c>
      <c r="T107" s="512" t="s">
        <v>500</v>
      </c>
      <c r="U107" s="410"/>
      <c r="Y107" s="522"/>
      <c r="Z107" s="522"/>
      <c r="AA107" s="522"/>
      <c r="AB107" s="522"/>
      <c r="AC107" s="522"/>
      <c r="AD107" s="522"/>
      <c r="AE107" s="522"/>
      <c r="AF107" s="522"/>
      <c r="AG107" s="522"/>
      <c r="AH107" s="522"/>
      <c r="AI107" s="522"/>
    </row>
    <row r="108" spans="2:35" ht="15.75" thickBot="1">
      <c r="P108" s="508" t="s">
        <v>1571</v>
      </c>
      <c r="Q108" s="509">
        <v>260653.45</v>
      </c>
      <c r="R108" s="125" t="s">
        <v>500</v>
      </c>
      <c r="S108" s="511" t="s">
        <v>500</v>
      </c>
      <c r="T108" s="512" t="s">
        <v>500</v>
      </c>
      <c r="U108" s="407"/>
    </row>
    <row r="109" spans="2:35" ht="15.75">
      <c r="B109" s="464" t="s">
        <v>1320</v>
      </c>
      <c r="C109" s="422"/>
      <c r="D109" s="422"/>
      <c r="E109" s="422"/>
      <c r="F109" s="422"/>
      <c r="P109" s="508" t="s">
        <v>1572</v>
      </c>
      <c r="Q109" s="509">
        <v>46276.85</v>
      </c>
      <c r="R109" s="125" t="s">
        <v>500</v>
      </c>
      <c r="S109" s="511" t="s">
        <v>500</v>
      </c>
      <c r="T109" s="512" t="s">
        <v>500</v>
      </c>
      <c r="U109" s="409"/>
    </row>
    <row r="110" spans="2:35" ht="16.5" thickBot="1">
      <c r="B110" s="464" t="s">
        <v>490</v>
      </c>
      <c r="C110" s="464"/>
      <c r="D110" s="422"/>
      <c r="E110" s="422"/>
      <c r="F110" s="422"/>
      <c r="P110" s="508" t="s">
        <v>1582</v>
      </c>
      <c r="Q110" s="509">
        <v>214376.6</v>
      </c>
      <c r="R110" s="125" t="s">
        <v>500</v>
      </c>
      <c r="S110" s="511" t="s">
        <v>500</v>
      </c>
      <c r="T110" s="512" t="s">
        <v>500</v>
      </c>
      <c r="U110" s="410"/>
    </row>
    <row r="111" spans="2:35">
      <c r="B111" s="465" t="s">
        <v>491</v>
      </c>
      <c r="C111" s="466" t="s">
        <v>1321</v>
      </c>
      <c r="D111" s="467" t="s">
        <v>1322</v>
      </c>
      <c r="E111" s="466" t="s">
        <v>1321</v>
      </c>
      <c r="F111" s="468" t="s">
        <v>1322</v>
      </c>
      <c r="P111" s="513" t="s">
        <v>1244</v>
      </c>
      <c r="Q111" s="514">
        <v>9094591.2400000002</v>
      </c>
      <c r="R111" s="515">
        <v>9094591.2400000002</v>
      </c>
      <c r="S111" s="516" t="s">
        <v>500</v>
      </c>
      <c r="T111" s="136" t="s">
        <v>500</v>
      </c>
      <c r="U111" s="411"/>
    </row>
    <row r="112" spans="2:35" ht="15.75" thickBot="1">
      <c r="B112" s="469"/>
      <c r="C112" s="470"/>
      <c r="D112" s="471"/>
      <c r="E112" s="472" t="s">
        <v>1323</v>
      </c>
      <c r="F112" s="473" t="s">
        <v>1323</v>
      </c>
      <c r="P112" s="517" t="s">
        <v>1245</v>
      </c>
      <c r="Q112" s="518" t="s">
        <v>500</v>
      </c>
      <c r="R112" s="519" t="s">
        <v>500</v>
      </c>
      <c r="S112" s="518" t="s">
        <v>500</v>
      </c>
      <c r="T112" s="520" t="s">
        <v>500</v>
      </c>
    </row>
    <row r="113" spans="2:18">
      <c r="B113" s="474" t="s">
        <v>492</v>
      </c>
      <c r="C113" s="475" t="s">
        <v>500</v>
      </c>
      <c r="D113" s="491">
        <v>189142.34</v>
      </c>
      <c r="E113" s="475" t="s">
        <v>500</v>
      </c>
      <c r="F113" s="477" t="s">
        <v>500</v>
      </c>
      <c r="R113" s="521">
        <f>R99-Q102-Q105-Q106-Q108</f>
        <v>278975.54999999917</v>
      </c>
    </row>
    <row r="114" spans="2:18">
      <c r="B114" s="445" t="s">
        <v>573</v>
      </c>
      <c r="C114" s="478">
        <v>24294.49</v>
      </c>
      <c r="D114" s="191" t="s">
        <v>500</v>
      </c>
      <c r="E114" s="480" t="s">
        <v>500</v>
      </c>
      <c r="F114" s="481" t="s">
        <v>500</v>
      </c>
      <c r="R114" s="489">
        <f>Q97-R97</f>
        <v>278975.55000000005</v>
      </c>
    </row>
    <row r="115" spans="2:18">
      <c r="B115" s="445" t="s">
        <v>623</v>
      </c>
      <c r="C115" s="478">
        <v>182550.8</v>
      </c>
      <c r="D115" s="479">
        <v>580982.12</v>
      </c>
      <c r="E115" s="480" t="s">
        <v>500</v>
      </c>
      <c r="F115" s="481" t="s">
        <v>500</v>
      </c>
    </row>
    <row r="116" spans="2:18">
      <c r="B116" s="482" t="s">
        <v>493</v>
      </c>
      <c r="C116" s="483">
        <v>206845.29</v>
      </c>
      <c r="D116" s="439">
        <v>580982.12</v>
      </c>
      <c r="E116" s="194" t="s">
        <v>500</v>
      </c>
      <c r="F116" s="484" t="s">
        <v>500</v>
      </c>
    </row>
    <row r="117" spans="2:18" ht="15.75" thickBot="1">
      <c r="B117" s="485" t="s">
        <v>494</v>
      </c>
      <c r="C117" s="486" t="s">
        <v>500</v>
      </c>
      <c r="D117" s="492">
        <v>563279.17000000004</v>
      </c>
      <c r="E117" s="486" t="s">
        <v>500</v>
      </c>
      <c r="F117" s="488" t="s">
        <v>500</v>
      </c>
    </row>
    <row r="119" spans="2:18">
      <c r="D119" s="489">
        <f>D117-D113</f>
        <v>374136.83000000007</v>
      </c>
    </row>
  </sheetData>
  <mergeCells count="9">
    <mergeCell ref="O5:O6"/>
    <mergeCell ref="Q5:Q6"/>
    <mergeCell ref="P5:P6"/>
    <mergeCell ref="R5:R6"/>
    <mergeCell ref="B92:F92"/>
    <mergeCell ref="L5:L6"/>
    <mergeCell ref="M5:M6"/>
    <mergeCell ref="N5:N6"/>
    <mergeCell ref="K5:K6"/>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dimension ref="A1:I98"/>
  <sheetViews>
    <sheetView topLeftCell="A16" zoomScale="139" workbookViewId="0">
      <selection activeCell="J18" sqref="J18"/>
    </sheetView>
  </sheetViews>
  <sheetFormatPr defaultColWidth="16.28515625" defaultRowHeight="15"/>
  <sheetData>
    <row r="1" spans="1:9" s="390" customFormat="1"/>
    <row r="2" spans="1:9">
      <c r="H2" s="125" t="s">
        <v>1466</v>
      </c>
    </row>
    <row r="3" spans="1:9" ht="14.25" customHeight="1">
      <c r="A3" s="126" t="s">
        <v>1467</v>
      </c>
      <c r="B3" s="126"/>
      <c r="C3" s="126"/>
      <c r="D3" s="388"/>
      <c r="E3" s="388"/>
      <c r="F3" s="388"/>
      <c r="G3" s="388"/>
      <c r="H3" s="388"/>
    </row>
    <row r="4" spans="1:9" ht="15.75">
      <c r="A4" s="127" t="s">
        <v>1468</v>
      </c>
      <c r="B4" s="128"/>
      <c r="C4" s="128"/>
      <c r="D4" s="128"/>
      <c r="E4" s="128"/>
      <c r="F4" s="128"/>
      <c r="G4" s="128"/>
      <c r="H4" s="128"/>
      <c r="I4" s="158">
        <f>G13-H18</f>
        <v>1751361.7300000002</v>
      </c>
    </row>
    <row r="5" spans="1:9" ht="16.5" thickBot="1">
      <c r="A5" s="127" t="s">
        <v>1469</v>
      </c>
      <c r="B5" s="128"/>
      <c r="C5" s="128"/>
      <c r="D5" s="128"/>
      <c r="E5" s="128"/>
      <c r="F5" s="128"/>
      <c r="G5" s="128"/>
      <c r="H5" s="128"/>
      <c r="I5" s="158">
        <f>I4-E8</f>
        <v>1718491.7300000002</v>
      </c>
    </row>
    <row r="6" spans="1:9">
      <c r="A6" s="391" t="s">
        <v>1470</v>
      </c>
      <c r="B6" s="129"/>
      <c r="C6" s="130" t="s">
        <v>1471</v>
      </c>
      <c r="D6" s="129"/>
      <c r="E6" s="130" t="s">
        <v>1472</v>
      </c>
      <c r="F6" s="129"/>
      <c r="G6" s="130" t="s">
        <v>1473</v>
      </c>
      <c r="H6" s="392"/>
    </row>
    <row r="7" spans="1:9" ht="15.75" thickBot="1">
      <c r="A7" s="393" t="s">
        <v>1474</v>
      </c>
      <c r="B7" s="131" t="s">
        <v>1475</v>
      </c>
      <c r="C7" s="132" t="s">
        <v>1475</v>
      </c>
      <c r="D7" s="132" t="s">
        <v>1476</v>
      </c>
      <c r="E7" s="132" t="s">
        <v>1475</v>
      </c>
      <c r="F7" s="132" t="s">
        <v>1476</v>
      </c>
      <c r="G7" s="132" t="s">
        <v>1475</v>
      </c>
      <c r="H7" s="394" t="s">
        <v>1476</v>
      </c>
    </row>
    <row r="8" spans="1:9">
      <c r="A8" s="395" t="s">
        <v>499</v>
      </c>
      <c r="B8" s="133" t="s">
        <v>1477</v>
      </c>
      <c r="C8" s="134">
        <v>128046.6</v>
      </c>
      <c r="D8" s="135" t="s">
        <v>500</v>
      </c>
      <c r="E8" s="134">
        <v>32870</v>
      </c>
      <c r="F8" s="135" t="s">
        <v>500</v>
      </c>
      <c r="G8" s="134">
        <v>160916.6</v>
      </c>
      <c r="H8" s="136" t="s">
        <v>500</v>
      </c>
    </row>
    <row r="9" spans="1:9" ht="30">
      <c r="A9" s="395" t="s">
        <v>501</v>
      </c>
      <c r="B9" s="133" t="s">
        <v>1478</v>
      </c>
      <c r="C9" s="134">
        <v>125256.6</v>
      </c>
      <c r="D9" s="135" t="s">
        <v>500</v>
      </c>
      <c r="E9" s="135" t="s">
        <v>500</v>
      </c>
      <c r="F9" s="135" t="s">
        <v>500</v>
      </c>
      <c r="G9" s="134">
        <v>125256.6</v>
      </c>
      <c r="H9" s="136" t="s">
        <v>500</v>
      </c>
      <c r="I9" s="214">
        <f>G9</f>
        <v>125256.6</v>
      </c>
    </row>
    <row r="10" spans="1:9" ht="45">
      <c r="A10" s="395" t="s">
        <v>502</v>
      </c>
      <c r="B10" s="133" t="s">
        <v>1479</v>
      </c>
      <c r="C10" s="134">
        <v>2790</v>
      </c>
      <c r="D10" s="135" t="s">
        <v>500</v>
      </c>
      <c r="E10" s="134">
        <v>32870</v>
      </c>
      <c r="F10" s="135" t="s">
        <v>500</v>
      </c>
      <c r="G10" s="134">
        <v>35660</v>
      </c>
      <c r="H10" s="136" t="s">
        <v>500</v>
      </c>
      <c r="I10" s="214">
        <f>G10</f>
        <v>35660</v>
      </c>
    </row>
    <row r="11" spans="1:9" ht="45">
      <c r="A11" s="395" t="s">
        <v>504</v>
      </c>
      <c r="B11" s="133" t="s">
        <v>1480</v>
      </c>
      <c r="C11" s="134">
        <v>2590486.2999999998</v>
      </c>
      <c r="D11" s="135" t="s">
        <v>500</v>
      </c>
      <c r="E11" s="135" t="s">
        <v>500</v>
      </c>
      <c r="F11" s="134">
        <v>2003.1</v>
      </c>
      <c r="G11" s="134">
        <v>2588483.2000000002</v>
      </c>
      <c r="H11" s="136" t="s">
        <v>500</v>
      </c>
    </row>
    <row r="12" spans="1:9" ht="60">
      <c r="A12" s="395" t="s">
        <v>506</v>
      </c>
      <c r="B12" s="133" t="s">
        <v>1481</v>
      </c>
      <c r="C12" s="134">
        <v>43945.599999999999</v>
      </c>
      <c r="D12" s="135" t="s">
        <v>500</v>
      </c>
      <c r="E12" s="135" t="s">
        <v>500</v>
      </c>
      <c r="F12" s="134">
        <v>2003.1</v>
      </c>
      <c r="G12" s="134">
        <v>41942.5</v>
      </c>
      <c r="H12" s="136" t="s">
        <v>500</v>
      </c>
      <c r="I12" s="214">
        <f>G12</f>
        <v>41942.5</v>
      </c>
    </row>
    <row r="13" spans="1:9" ht="45">
      <c r="A13" s="395" t="s">
        <v>1482</v>
      </c>
      <c r="B13" s="133" t="s">
        <v>1480</v>
      </c>
      <c r="C13" s="134">
        <v>2546540.7000000002</v>
      </c>
      <c r="D13" s="135" t="s">
        <v>500</v>
      </c>
      <c r="E13" s="135" t="s">
        <v>500</v>
      </c>
      <c r="F13" s="135" t="s">
        <v>500</v>
      </c>
      <c r="G13" s="134">
        <v>2546540.7000000002</v>
      </c>
      <c r="H13" s="136" t="s">
        <v>500</v>
      </c>
      <c r="I13" s="214">
        <f>G13</f>
        <v>2546540.7000000002</v>
      </c>
    </row>
    <row r="14" spans="1:9" ht="30">
      <c r="A14" s="395" t="s">
        <v>508</v>
      </c>
      <c r="B14" s="133" t="s">
        <v>1483</v>
      </c>
      <c r="C14" s="134">
        <v>2993.2</v>
      </c>
      <c r="D14" s="135" t="s">
        <v>500</v>
      </c>
      <c r="E14" s="135" t="s">
        <v>500</v>
      </c>
      <c r="F14" s="135" t="s">
        <v>500</v>
      </c>
      <c r="G14" s="134">
        <v>2993.2</v>
      </c>
      <c r="H14" s="136" t="s">
        <v>500</v>
      </c>
    </row>
    <row r="15" spans="1:9" ht="45">
      <c r="A15" s="395" t="s">
        <v>509</v>
      </c>
      <c r="B15" s="133" t="s">
        <v>1484</v>
      </c>
      <c r="C15" s="134">
        <v>2993.2</v>
      </c>
      <c r="D15" s="135" t="s">
        <v>500</v>
      </c>
      <c r="E15" s="135" t="s">
        <v>500</v>
      </c>
      <c r="F15" s="135" t="s">
        <v>500</v>
      </c>
      <c r="G15" s="134">
        <v>2993.2</v>
      </c>
      <c r="H15" s="136" t="s">
        <v>500</v>
      </c>
      <c r="I15" s="214">
        <f>G15</f>
        <v>2993.2</v>
      </c>
    </row>
    <row r="16" spans="1:9" ht="60">
      <c r="A16" s="395" t="s">
        <v>511</v>
      </c>
      <c r="B16" s="133" t="s">
        <v>1485</v>
      </c>
      <c r="C16" s="135" t="s">
        <v>500</v>
      </c>
      <c r="D16" s="134">
        <v>928221.87</v>
      </c>
      <c r="E16" s="134">
        <v>2003.1</v>
      </c>
      <c r="F16" s="134">
        <v>5478.4</v>
      </c>
      <c r="G16" s="135" t="s">
        <v>500</v>
      </c>
      <c r="H16" s="396">
        <v>931697.17</v>
      </c>
    </row>
    <row r="17" spans="1:9" ht="30">
      <c r="A17" s="395" t="s">
        <v>513</v>
      </c>
      <c r="B17" s="133" t="s">
        <v>1486</v>
      </c>
      <c r="C17" s="135" t="s">
        <v>500</v>
      </c>
      <c r="D17" s="134">
        <v>128046.6</v>
      </c>
      <c r="E17" s="135" t="s">
        <v>500</v>
      </c>
      <c r="F17" s="134">
        <v>5478.4</v>
      </c>
      <c r="G17" s="135" t="s">
        <v>500</v>
      </c>
      <c r="H17" s="396">
        <v>133525</v>
      </c>
      <c r="I17" s="214">
        <f>-H17</f>
        <v>-133525</v>
      </c>
    </row>
    <row r="18" spans="1:9" ht="60">
      <c r="A18" s="395" t="s">
        <v>515</v>
      </c>
      <c r="B18" s="133" t="s">
        <v>1487</v>
      </c>
      <c r="C18" s="135" t="s">
        <v>500</v>
      </c>
      <c r="D18" s="134">
        <v>797182.07</v>
      </c>
      <c r="E18" s="134">
        <v>2003.1</v>
      </c>
      <c r="F18" s="135" t="s">
        <v>500</v>
      </c>
      <c r="G18" s="135" t="s">
        <v>500</v>
      </c>
      <c r="H18" s="396">
        <v>795178.97</v>
      </c>
      <c r="I18" s="214">
        <f>-H18</f>
        <v>-795178.97</v>
      </c>
    </row>
    <row r="19" spans="1:9" ht="60">
      <c r="A19" s="395" t="s">
        <v>517</v>
      </c>
      <c r="B19" s="133" t="s">
        <v>1488</v>
      </c>
      <c r="C19" s="135" t="s">
        <v>500</v>
      </c>
      <c r="D19" s="134">
        <v>2993.2</v>
      </c>
      <c r="E19" s="135" t="s">
        <v>500</v>
      </c>
      <c r="F19" s="135" t="s">
        <v>500</v>
      </c>
      <c r="G19" s="135" t="s">
        <v>500</v>
      </c>
      <c r="H19" s="396">
        <v>2993.2</v>
      </c>
      <c r="I19" s="214">
        <f>-H19</f>
        <v>-2993.2</v>
      </c>
    </row>
    <row r="20" spans="1:9" ht="30">
      <c r="A20" s="395" t="s">
        <v>519</v>
      </c>
      <c r="B20" s="133" t="s">
        <v>1489</v>
      </c>
      <c r="C20" s="135" t="s">
        <v>500</v>
      </c>
      <c r="D20" s="135" t="s">
        <v>500</v>
      </c>
      <c r="E20" s="134">
        <v>32870</v>
      </c>
      <c r="F20" s="134">
        <v>32870</v>
      </c>
      <c r="G20" s="135" t="s">
        <v>500</v>
      </c>
      <c r="H20" s="136" t="s">
        <v>500</v>
      </c>
    </row>
    <row r="21" spans="1:9" ht="60">
      <c r="A21" s="395" t="s">
        <v>1490</v>
      </c>
      <c r="B21" s="133" t="s">
        <v>1491</v>
      </c>
      <c r="C21" s="135" t="s">
        <v>500</v>
      </c>
      <c r="D21" s="135" t="s">
        <v>500</v>
      </c>
      <c r="E21" s="134">
        <v>32870</v>
      </c>
      <c r="F21" s="134">
        <v>32870</v>
      </c>
      <c r="G21" s="135" t="s">
        <v>500</v>
      </c>
      <c r="H21" s="136" t="s">
        <v>500</v>
      </c>
    </row>
    <row r="22" spans="1:9" ht="45">
      <c r="A22" s="395" t="s">
        <v>1492</v>
      </c>
      <c r="B22" s="133" t="s">
        <v>1493</v>
      </c>
      <c r="C22" s="135" t="s">
        <v>500</v>
      </c>
      <c r="D22" s="135" t="s">
        <v>500</v>
      </c>
      <c r="E22" s="134">
        <v>32870</v>
      </c>
      <c r="F22" s="134">
        <v>32870</v>
      </c>
      <c r="G22" s="135" t="s">
        <v>500</v>
      </c>
      <c r="H22" s="136" t="s">
        <v>500</v>
      </c>
    </row>
    <row r="23" spans="1:9" ht="90">
      <c r="A23" s="395" t="s">
        <v>521</v>
      </c>
      <c r="B23" s="133" t="s">
        <v>1494</v>
      </c>
      <c r="C23" s="135" t="s">
        <v>500</v>
      </c>
      <c r="D23" s="135" t="s">
        <v>500</v>
      </c>
      <c r="E23" s="135" t="s">
        <v>500</v>
      </c>
      <c r="F23" s="135" t="s">
        <v>500</v>
      </c>
      <c r="G23" s="135" t="s">
        <v>500</v>
      </c>
      <c r="H23" s="136" t="s">
        <v>500</v>
      </c>
    </row>
    <row r="24" spans="1:9" ht="60">
      <c r="A24" s="395" t="s">
        <v>523</v>
      </c>
      <c r="B24" s="133" t="s">
        <v>1495</v>
      </c>
      <c r="C24" s="135" t="s">
        <v>500</v>
      </c>
      <c r="D24" s="135" t="s">
        <v>500</v>
      </c>
      <c r="E24" s="135" t="s">
        <v>500</v>
      </c>
      <c r="F24" s="135" t="s">
        <v>500</v>
      </c>
      <c r="G24" s="135" t="s">
        <v>500</v>
      </c>
      <c r="H24" s="136" t="s">
        <v>500</v>
      </c>
    </row>
    <row r="25" spans="1:9" ht="60">
      <c r="A25" s="395" t="s">
        <v>525</v>
      </c>
      <c r="B25" s="133" t="s">
        <v>1496</v>
      </c>
      <c r="C25" s="135" t="s">
        <v>500</v>
      </c>
      <c r="D25" s="135" t="s">
        <v>500</v>
      </c>
      <c r="E25" s="135" t="s">
        <v>500</v>
      </c>
      <c r="F25" s="135" t="s">
        <v>500</v>
      </c>
      <c r="G25" s="135" t="s">
        <v>500</v>
      </c>
      <c r="H25" s="136" t="s">
        <v>500</v>
      </c>
    </row>
    <row r="26" spans="1:9" ht="45">
      <c r="A26" s="395" t="s">
        <v>527</v>
      </c>
      <c r="B26" s="133" t="s">
        <v>1497</v>
      </c>
      <c r="C26" s="135" t="s">
        <v>500</v>
      </c>
      <c r="D26" s="135" t="s">
        <v>500</v>
      </c>
      <c r="E26" s="135" t="s">
        <v>500</v>
      </c>
      <c r="F26" s="135" t="s">
        <v>500</v>
      </c>
      <c r="G26" s="135" t="s">
        <v>500</v>
      </c>
      <c r="H26" s="136" t="s">
        <v>500</v>
      </c>
    </row>
    <row r="27" spans="1:9" ht="30">
      <c r="A27" s="395" t="s">
        <v>1058</v>
      </c>
      <c r="B27" s="133" t="s">
        <v>1498</v>
      </c>
      <c r="C27" s="135" t="s">
        <v>500</v>
      </c>
      <c r="D27" s="135" t="s">
        <v>500</v>
      </c>
      <c r="E27" s="134">
        <v>2048.58</v>
      </c>
      <c r="F27" s="134">
        <v>2048.58</v>
      </c>
      <c r="G27" s="135" t="s">
        <v>500</v>
      </c>
      <c r="H27" s="136" t="s">
        <v>500</v>
      </c>
    </row>
    <row r="28" spans="1:9" ht="30">
      <c r="A28" s="395" t="s">
        <v>1499</v>
      </c>
      <c r="B28" s="133" t="s">
        <v>1500</v>
      </c>
      <c r="C28" s="135" t="s">
        <v>500</v>
      </c>
      <c r="D28" s="135" t="s">
        <v>500</v>
      </c>
      <c r="E28" s="134">
        <v>2048.58</v>
      </c>
      <c r="F28" s="134">
        <v>2048.58</v>
      </c>
      <c r="G28" s="135" t="s">
        <v>500</v>
      </c>
      <c r="H28" s="136" t="s">
        <v>500</v>
      </c>
    </row>
    <row r="29" spans="1:9" ht="45">
      <c r="A29" s="395" t="s">
        <v>529</v>
      </c>
      <c r="B29" s="133" t="s">
        <v>1501</v>
      </c>
      <c r="C29" s="135" t="s">
        <v>500</v>
      </c>
      <c r="D29" s="135" t="s">
        <v>500</v>
      </c>
      <c r="E29" s="134">
        <v>34752.35</v>
      </c>
      <c r="F29" s="134">
        <v>34752.35</v>
      </c>
      <c r="G29" s="135" t="s">
        <v>500</v>
      </c>
      <c r="H29" s="136" t="s">
        <v>500</v>
      </c>
    </row>
    <row r="30" spans="1:9">
      <c r="A30" s="395" t="s">
        <v>531</v>
      </c>
      <c r="B30" s="133" t="s">
        <v>1476</v>
      </c>
      <c r="C30" s="135" t="s">
        <v>500</v>
      </c>
      <c r="D30" s="135" t="s">
        <v>500</v>
      </c>
      <c r="E30" s="134">
        <v>56930.559999999998</v>
      </c>
      <c r="F30" s="134">
        <v>56930.559999999998</v>
      </c>
      <c r="G30" s="135" t="s">
        <v>500</v>
      </c>
      <c r="H30" s="136" t="s">
        <v>500</v>
      </c>
    </row>
    <row r="31" spans="1:9">
      <c r="A31" s="395" t="s">
        <v>533</v>
      </c>
      <c r="B31" s="133" t="s">
        <v>1502</v>
      </c>
      <c r="C31" s="135" t="s">
        <v>500</v>
      </c>
      <c r="D31" s="135" t="s">
        <v>500</v>
      </c>
      <c r="E31" s="134">
        <v>56930.559999999998</v>
      </c>
      <c r="F31" s="134">
        <v>56930.559999999998</v>
      </c>
      <c r="G31" s="135" t="s">
        <v>500</v>
      </c>
      <c r="H31" s="136" t="s">
        <v>500</v>
      </c>
    </row>
    <row r="32" spans="1:9">
      <c r="A32" s="395" t="s">
        <v>535</v>
      </c>
      <c r="B32" s="133" t="s">
        <v>1470</v>
      </c>
      <c r="C32" s="134">
        <v>131854</v>
      </c>
      <c r="D32" s="135" t="s">
        <v>500</v>
      </c>
      <c r="E32" s="134">
        <v>67552727.879999995</v>
      </c>
      <c r="F32" s="134">
        <v>67538301.909999996</v>
      </c>
      <c r="G32" s="134">
        <v>146279.97</v>
      </c>
      <c r="H32" s="136" t="s">
        <v>500</v>
      </c>
      <c r="I32" s="214">
        <f>G32</f>
        <v>146279.97</v>
      </c>
    </row>
    <row r="33" spans="1:9" ht="45">
      <c r="A33" s="395" t="s">
        <v>537</v>
      </c>
      <c r="B33" s="133" t="s">
        <v>1503</v>
      </c>
      <c r="C33" s="134">
        <v>131854</v>
      </c>
      <c r="D33" s="135" t="s">
        <v>500</v>
      </c>
      <c r="E33" s="134">
        <v>67552727.879999995</v>
      </c>
      <c r="F33" s="134">
        <v>67538301.909999996</v>
      </c>
      <c r="G33" s="134">
        <v>146279.97</v>
      </c>
      <c r="H33" s="136" t="s">
        <v>500</v>
      </c>
    </row>
    <row r="34" spans="1:9">
      <c r="A34" s="395" t="s">
        <v>539</v>
      </c>
      <c r="B34" s="133" t="s">
        <v>1504</v>
      </c>
      <c r="C34" s="134">
        <v>5108.17</v>
      </c>
      <c r="D34" s="135" t="s">
        <v>500</v>
      </c>
      <c r="E34" s="134">
        <v>5728708.04</v>
      </c>
      <c r="F34" s="134">
        <v>5709952.5</v>
      </c>
      <c r="G34" s="134">
        <v>23863.71</v>
      </c>
      <c r="H34" s="136" t="s">
        <v>500</v>
      </c>
      <c r="I34" s="214">
        <f>G34</f>
        <v>23863.71</v>
      </c>
    </row>
    <row r="35" spans="1:9" ht="45">
      <c r="A35" s="395" t="s">
        <v>541</v>
      </c>
      <c r="B35" s="133" t="s">
        <v>1505</v>
      </c>
      <c r="C35" s="134">
        <v>5108.17</v>
      </c>
      <c r="D35" s="135" t="s">
        <v>500</v>
      </c>
      <c r="E35" s="134">
        <v>5477028.3499999996</v>
      </c>
      <c r="F35" s="134">
        <v>5458272.8099999996</v>
      </c>
      <c r="G35" s="134">
        <v>23863.71</v>
      </c>
      <c r="H35" s="136" t="s">
        <v>500</v>
      </c>
    </row>
    <row r="36" spans="1:9" ht="60">
      <c r="A36" s="395" t="s">
        <v>1506</v>
      </c>
      <c r="B36" s="133" t="s">
        <v>1507</v>
      </c>
      <c r="C36" s="135" t="s">
        <v>500</v>
      </c>
      <c r="D36" s="135" t="s">
        <v>500</v>
      </c>
      <c r="E36" s="134">
        <v>251679.69</v>
      </c>
      <c r="F36" s="134">
        <v>251679.69</v>
      </c>
      <c r="G36" s="135" t="s">
        <v>500</v>
      </c>
      <c r="H36" s="136" t="s">
        <v>500</v>
      </c>
    </row>
    <row r="37" spans="1:9">
      <c r="A37" s="395" t="s">
        <v>543</v>
      </c>
      <c r="B37" s="133" t="s">
        <v>1508</v>
      </c>
      <c r="C37" s="135" t="s">
        <v>500</v>
      </c>
      <c r="D37" s="135" t="s">
        <v>500</v>
      </c>
      <c r="E37" s="134">
        <v>31918943.899999999</v>
      </c>
      <c r="F37" s="134">
        <v>31918943.899999999</v>
      </c>
      <c r="G37" s="135" t="s">
        <v>500</v>
      </c>
      <c r="H37" s="136" t="s">
        <v>500</v>
      </c>
    </row>
    <row r="38" spans="1:9" ht="60">
      <c r="A38" s="395" t="s">
        <v>545</v>
      </c>
      <c r="B38" s="133" t="s">
        <v>1509</v>
      </c>
      <c r="C38" s="135" t="s">
        <v>500</v>
      </c>
      <c r="D38" s="135" t="s">
        <v>500</v>
      </c>
      <c r="E38" s="134">
        <v>31918943.899999999</v>
      </c>
      <c r="F38" s="134">
        <v>31918943.899999999</v>
      </c>
      <c r="G38" s="135" t="s">
        <v>500</v>
      </c>
      <c r="H38" s="136" t="s">
        <v>500</v>
      </c>
    </row>
    <row r="39" spans="1:9" ht="45">
      <c r="A39" s="395" t="s">
        <v>547</v>
      </c>
      <c r="B39" s="133" t="s">
        <v>1510</v>
      </c>
      <c r="C39" s="135" t="s">
        <v>500</v>
      </c>
      <c r="D39" s="135" t="s">
        <v>500</v>
      </c>
      <c r="E39" s="134">
        <v>77345.52</v>
      </c>
      <c r="F39" s="134">
        <v>77345.52</v>
      </c>
      <c r="G39" s="135" t="s">
        <v>500</v>
      </c>
      <c r="H39" s="136" t="s">
        <v>500</v>
      </c>
    </row>
    <row r="40" spans="1:9" ht="45">
      <c r="A40" s="395" t="s">
        <v>549</v>
      </c>
      <c r="B40" s="133" t="s">
        <v>1511</v>
      </c>
      <c r="C40" s="135" t="s">
        <v>500</v>
      </c>
      <c r="D40" s="135" t="s">
        <v>500</v>
      </c>
      <c r="E40" s="134">
        <v>77345.52</v>
      </c>
      <c r="F40" s="134">
        <v>77345.52</v>
      </c>
      <c r="G40" s="135" t="s">
        <v>500</v>
      </c>
      <c r="H40" s="136" t="s">
        <v>500</v>
      </c>
    </row>
    <row r="41" spans="1:9" ht="45">
      <c r="A41" s="395" t="s">
        <v>551</v>
      </c>
      <c r="B41" s="133" t="s">
        <v>1512</v>
      </c>
      <c r="C41" s="134">
        <v>2935677.49</v>
      </c>
      <c r="D41" s="135" t="s">
        <v>500</v>
      </c>
      <c r="E41" s="134">
        <v>36602105.100000001</v>
      </c>
      <c r="F41" s="134">
        <v>34678442.369999997</v>
      </c>
      <c r="G41" s="134">
        <v>4859340.22</v>
      </c>
      <c r="H41" s="136" t="s">
        <v>500</v>
      </c>
      <c r="I41" s="214">
        <f>G41</f>
        <v>4859340.22</v>
      </c>
    </row>
    <row r="42" spans="1:9" ht="45">
      <c r="A42" s="395" t="s">
        <v>553</v>
      </c>
      <c r="B42" s="133" t="s">
        <v>1513</v>
      </c>
      <c r="C42" s="135" t="s">
        <v>500</v>
      </c>
      <c r="D42" s="135" t="s">
        <v>500</v>
      </c>
      <c r="E42" s="134">
        <v>1953000</v>
      </c>
      <c r="F42" s="134">
        <v>1953000</v>
      </c>
      <c r="G42" s="135" t="s">
        <v>500</v>
      </c>
      <c r="H42" s="136" t="s">
        <v>500</v>
      </c>
    </row>
    <row r="43" spans="1:9" ht="75">
      <c r="A43" s="395" t="s">
        <v>555</v>
      </c>
      <c r="B43" s="133" t="s">
        <v>1514</v>
      </c>
      <c r="C43" s="135" t="s">
        <v>500</v>
      </c>
      <c r="D43" s="135" t="s">
        <v>500</v>
      </c>
      <c r="E43" s="134">
        <v>1953000</v>
      </c>
      <c r="F43" s="134">
        <v>1953000</v>
      </c>
      <c r="G43" s="135" t="s">
        <v>500</v>
      </c>
      <c r="H43" s="136" t="s">
        <v>500</v>
      </c>
    </row>
    <row r="44" spans="1:9" ht="45">
      <c r="A44" s="395" t="s">
        <v>557</v>
      </c>
      <c r="B44" s="133" t="s">
        <v>1515</v>
      </c>
      <c r="C44" s="134">
        <v>19838.09</v>
      </c>
      <c r="D44" s="135" t="s">
        <v>500</v>
      </c>
      <c r="E44" s="134">
        <v>8193407.1799999997</v>
      </c>
      <c r="F44" s="134">
        <v>8176604.7400000002</v>
      </c>
      <c r="G44" s="134">
        <v>36640.53</v>
      </c>
      <c r="H44" s="136" t="s">
        <v>500</v>
      </c>
    </row>
    <row r="45" spans="1:9" ht="30">
      <c r="A45" s="395" t="s">
        <v>559</v>
      </c>
      <c r="B45" s="133" t="s">
        <v>1516</v>
      </c>
      <c r="C45" s="134">
        <v>6442.69</v>
      </c>
      <c r="D45" s="135" t="s">
        <v>500</v>
      </c>
      <c r="E45" s="134">
        <v>469121.32</v>
      </c>
      <c r="F45" s="134">
        <v>470651.86</v>
      </c>
      <c r="G45" s="134">
        <v>4912.1499999999996</v>
      </c>
      <c r="H45" s="136" t="s">
        <v>500</v>
      </c>
    </row>
    <row r="46" spans="1:9" ht="45">
      <c r="A46" s="395" t="s">
        <v>561</v>
      </c>
      <c r="B46" s="133" t="s">
        <v>1517</v>
      </c>
      <c r="C46" s="134">
        <v>2909396.71</v>
      </c>
      <c r="D46" s="135" t="s">
        <v>500</v>
      </c>
      <c r="E46" s="134">
        <v>25986576.600000001</v>
      </c>
      <c r="F46" s="134">
        <v>24078185.77</v>
      </c>
      <c r="G46" s="134">
        <v>4817787.54</v>
      </c>
      <c r="H46" s="136" t="s">
        <v>500</v>
      </c>
    </row>
    <row r="47" spans="1:9" ht="75">
      <c r="A47" s="395" t="s">
        <v>563</v>
      </c>
      <c r="B47" s="133" t="s">
        <v>1518</v>
      </c>
      <c r="C47" s="134">
        <v>2909396.71</v>
      </c>
      <c r="D47" s="135" t="s">
        <v>500</v>
      </c>
      <c r="E47" s="134">
        <v>25986576.600000001</v>
      </c>
      <c r="F47" s="134">
        <v>24078185.77</v>
      </c>
      <c r="G47" s="134">
        <v>4817787.54</v>
      </c>
      <c r="H47" s="136" t="s">
        <v>500</v>
      </c>
    </row>
    <row r="48" spans="1:9" ht="45">
      <c r="A48" s="395" t="s">
        <v>565</v>
      </c>
      <c r="B48" s="133" t="s">
        <v>1519</v>
      </c>
      <c r="C48" s="135" t="s">
        <v>500</v>
      </c>
      <c r="D48" s="135" t="s">
        <v>500</v>
      </c>
      <c r="E48" s="134">
        <v>1116</v>
      </c>
      <c r="F48" s="134">
        <v>1116</v>
      </c>
      <c r="G48" s="135" t="s">
        <v>500</v>
      </c>
      <c r="H48" s="136" t="s">
        <v>500</v>
      </c>
    </row>
    <row r="49" spans="1:9" ht="45">
      <c r="A49" s="395" t="s">
        <v>567</v>
      </c>
      <c r="B49" s="133" t="s">
        <v>1520</v>
      </c>
      <c r="C49" s="135" t="s">
        <v>500</v>
      </c>
      <c r="D49" s="134">
        <v>930000</v>
      </c>
      <c r="E49" s="135" t="s">
        <v>500</v>
      </c>
      <c r="F49" s="135" t="s">
        <v>500</v>
      </c>
      <c r="G49" s="135" t="s">
        <v>500</v>
      </c>
      <c r="H49" s="396">
        <v>930000</v>
      </c>
      <c r="I49" s="214">
        <f>-H49</f>
        <v>-930000</v>
      </c>
    </row>
    <row r="50" spans="1:9" ht="30">
      <c r="A50" s="395" t="s">
        <v>569</v>
      </c>
      <c r="B50" s="133" t="s">
        <v>1521</v>
      </c>
      <c r="C50" s="135" t="s">
        <v>500</v>
      </c>
      <c r="D50" s="134">
        <v>930000</v>
      </c>
      <c r="E50" s="135" t="s">
        <v>500</v>
      </c>
      <c r="F50" s="135" t="s">
        <v>500</v>
      </c>
      <c r="G50" s="135" t="s">
        <v>500</v>
      </c>
      <c r="H50" s="396">
        <v>930000</v>
      </c>
    </row>
    <row r="51" spans="1:9" ht="30">
      <c r="A51" s="395" t="s">
        <v>570</v>
      </c>
      <c r="B51" s="133" t="s">
        <v>1522</v>
      </c>
      <c r="C51" s="135" t="s">
        <v>500</v>
      </c>
      <c r="D51" s="134">
        <v>108128.82</v>
      </c>
      <c r="E51" s="135" t="s">
        <v>500</v>
      </c>
      <c r="F51" s="135" t="s">
        <v>500</v>
      </c>
      <c r="G51" s="135" t="s">
        <v>500</v>
      </c>
      <c r="H51" s="396">
        <v>108128.82</v>
      </c>
      <c r="I51" s="214">
        <f>-H51</f>
        <v>-108128.82</v>
      </c>
    </row>
    <row r="52" spans="1:9" ht="45">
      <c r="A52" s="395" t="s">
        <v>571</v>
      </c>
      <c r="B52" s="133" t="s">
        <v>1523</v>
      </c>
      <c r="C52" s="135" t="s">
        <v>500</v>
      </c>
      <c r="D52" s="134">
        <v>108128.82</v>
      </c>
      <c r="E52" s="135" t="s">
        <v>500</v>
      </c>
      <c r="F52" s="135" t="s">
        <v>500</v>
      </c>
      <c r="G52" s="135" t="s">
        <v>500</v>
      </c>
      <c r="H52" s="396">
        <v>108128.82</v>
      </c>
    </row>
    <row r="53" spans="1:9" ht="30">
      <c r="A53" s="395" t="s">
        <v>573</v>
      </c>
      <c r="B53" s="133" t="s">
        <v>1521</v>
      </c>
      <c r="C53" s="135" t="s">
        <v>500</v>
      </c>
      <c r="D53" s="134">
        <v>34381.97</v>
      </c>
      <c r="E53" s="135" t="s">
        <v>500</v>
      </c>
      <c r="F53" s="135" t="s">
        <v>500</v>
      </c>
      <c r="G53" s="135" t="s">
        <v>500</v>
      </c>
      <c r="H53" s="396">
        <v>34381.97</v>
      </c>
      <c r="I53" s="214">
        <f>-H53</f>
        <v>-34381.97</v>
      </c>
    </row>
    <row r="54" spans="1:9" ht="60">
      <c r="A54" s="395" t="s">
        <v>574</v>
      </c>
      <c r="B54" s="133" t="s">
        <v>1524</v>
      </c>
      <c r="C54" s="135" t="s">
        <v>500</v>
      </c>
      <c r="D54" s="134">
        <v>619939.26</v>
      </c>
      <c r="E54" s="134">
        <v>347595.43</v>
      </c>
      <c r="F54" s="134">
        <v>630997.77</v>
      </c>
      <c r="G54" s="135" t="s">
        <v>500</v>
      </c>
      <c r="H54" s="396">
        <v>903341.6</v>
      </c>
      <c r="I54" s="214">
        <f>-H54</f>
        <v>-903341.6</v>
      </c>
    </row>
    <row r="55" spans="1:9" ht="30">
      <c r="A55" s="395" t="s">
        <v>576</v>
      </c>
      <c r="B55" s="133" t="s">
        <v>1525</v>
      </c>
      <c r="C55" s="135" t="s">
        <v>500</v>
      </c>
      <c r="D55" s="134">
        <v>1271215.58</v>
      </c>
      <c r="E55" s="134">
        <v>347595.43</v>
      </c>
      <c r="F55" s="134">
        <v>630997.77</v>
      </c>
      <c r="G55" s="135" t="s">
        <v>500</v>
      </c>
      <c r="H55" s="396">
        <v>1554617.92</v>
      </c>
    </row>
    <row r="56" spans="1:9" ht="30">
      <c r="A56" s="395" t="s">
        <v>578</v>
      </c>
      <c r="B56" s="133" t="s">
        <v>1498</v>
      </c>
      <c r="C56" s="134">
        <v>651276.31999999995</v>
      </c>
      <c r="D56" s="135" t="s">
        <v>500</v>
      </c>
      <c r="E56" s="135" t="s">
        <v>500</v>
      </c>
      <c r="F56" s="135" t="s">
        <v>500</v>
      </c>
      <c r="G56" s="134">
        <v>651276.31999999995</v>
      </c>
      <c r="H56" s="136" t="s">
        <v>500</v>
      </c>
    </row>
    <row r="57" spans="1:9" ht="60">
      <c r="A57" s="395" t="s">
        <v>580</v>
      </c>
      <c r="B57" s="133" t="s">
        <v>1526</v>
      </c>
      <c r="C57" s="135" t="s">
        <v>500</v>
      </c>
      <c r="D57" s="134">
        <v>3084.27</v>
      </c>
      <c r="E57" s="134">
        <v>73096.600000000006</v>
      </c>
      <c r="F57" s="134">
        <v>71144.92</v>
      </c>
      <c r="G57" s="135" t="s">
        <v>500</v>
      </c>
      <c r="H57" s="396">
        <v>1132.5899999999999</v>
      </c>
      <c r="I57" s="214">
        <f>-H57</f>
        <v>-1132.5899999999999</v>
      </c>
    </row>
    <row r="58" spans="1:9" ht="45">
      <c r="A58" s="395" t="s">
        <v>582</v>
      </c>
      <c r="B58" s="133" t="s">
        <v>1527</v>
      </c>
      <c r="C58" s="135" t="s">
        <v>500</v>
      </c>
      <c r="D58" s="134">
        <v>3084.27</v>
      </c>
      <c r="E58" s="134">
        <v>73096.600000000006</v>
      </c>
      <c r="F58" s="134">
        <v>71144.92</v>
      </c>
      <c r="G58" s="135" t="s">
        <v>500</v>
      </c>
      <c r="H58" s="396">
        <v>1132.5899999999999</v>
      </c>
    </row>
    <row r="59" spans="1:9" ht="45">
      <c r="A59" s="395" t="s">
        <v>1528</v>
      </c>
      <c r="B59" s="133" t="s">
        <v>1529</v>
      </c>
      <c r="C59" s="135" t="s">
        <v>500</v>
      </c>
      <c r="D59" s="134">
        <v>721847.77</v>
      </c>
      <c r="E59" s="135" t="s">
        <v>500</v>
      </c>
      <c r="F59" s="135" t="s">
        <v>500</v>
      </c>
      <c r="G59" s="135" t="s">
        <v>500</v>
      </c>
      <c r="H59" s="396">
        <v>721847.77</v>
      </c>
      <c r="I59" s="214">
        <f>-H59</f>
        <v>-721847.77</v>
      </c>
    </row>
    <row r="60" spans="1:9" ht="45">
      <c r="A60" s="395" t="s">
        <v>1530</v>
      </c>
      <c r="B60" s="133" t="s">
        <v>1531</v>
      </c>
      <c r="C60" s="135" t="s">
        <v>500</v>
      </c>
      <c r="D60" s="134">
        <v>721847.77</v>
      </c>
      <c r="E60" s="135" t="s">
        <v>500</v>
      </c>
      <c r="F60" s="135" t="s">
        <v>500</v>
      </c>
      <c r="G60" s="135" t="s">
        <v>500</v>
      </c>
      <c r="H60" s="396">
        <v>721847.77</v>
      </c>
    </row>
    <row r="61" spans="1:9" ht="30">
      <c r="A61" s="395" t="s">
        <v>1532</v>
      </c>
      <c r="B61" s="133" t="s">
        <v>1533</v>
      </c>
      <c r="C61" s="135" t="s">
        <v>500</v>
      </c>
      <c r="D61" s="135" t="s">
        <v>500</v>
      </c>
      <c r="E61" s="134">
        <v>440300.02</v>
      </c>
      <c r="F61" s="134">
        <v>1399300</v>
      </c>
      <c r="G61" s="135" t="s">
        <v>500</v>
      </c>
      <c r="H61" s="396">
        <v>958999.98</v>
      </c>
      <c r="I61" s="214">
        <f>-H61</f>
        <v>-958999.98</v>
      </c>
    </row>
    <row r="62" spans="1:9" ht="60">
      <c r="A62" s="395" t="s">
        <v>1534</v>
      </c>
      <c r="B62" s="133" t="s">
        <v>1535</v>
      </c>
      <c r="C62" s="135" t="s">
        <v>500</v>
      </c>
      <c r="D62" s="135" t="s">
        <v>500</v>
      </c>
      <c r="E62" s="134">
        <v>440300.02</v>
      </c>
      <c r="F62" s="134">
        <v>1399300</v>
      </c>
      <c r="G62" s="135" t="s">
        <v>500</v>
      </c>
      <c r="H62" s="396">
        <v>958999.98</v>
      </c>
    </row>
    <row r="63" spans="1:9" ht="75">
      <c r="A63" s="395" t="s">
        <v>1536</v>
      </c>
      <c r="B63" s="133" t="s">
        <v>1537</v>
      </c>
      <c r="C63" s="135" t="s">
        <v>500</v>
      </c>
      <c r="D63" s="134">
        <v>1002358.79</v>
      </c>
      <c r="E63" s="135" t="s">
        <v>500</v>
      </c>
      <c r="F63" s="135" t="s">
        <v>500</v>
      </c>
      <c r="G63" s="135" t="s">
        <v>500</v>
      </c>
      <c r="H63" s="396">
        <v>1002358.79</v>
      </c>
      <c r="I63" s="214">
        <f>-H63</f>
        <v>-1002358.79</v>
      </c>
    </row>
    <row r="64" spans="1:9" ht="90">
      <c r="A64" s="395" t="s">
        <v>1538</v>
      </c>
      <c r="B64" s="133" t="s">
        <v>1539</v>
      </c>
      <c r="C64" s="135" t="s">
        <v>500</v>
      </c>
      <c r="D64" s="134">
        <v>1002358.79</v>
      </c>
      <c r="E64" s="135" t="s">
        <v>500</v>
      </c>
      <c r="F64" s="135" t="s">
        <v>500</v>
      </c>
      <c r="G64" s="135" t="s">
        <v>500</v>
      </c>
      <c r="H64" s="396">
        <v>1002358.79</v>
      </c>
    </row>
    <row r="65" spans="1:9" ht="45">
      <c r="A65" s="395" t="s">
        <v>584</v>
      </c>
      <c r="B65" s="133" t="s">
        <v>1540</v>
      </c>
      <c r="C65" s="135" t="s">
        <v>500</v>
      </c>
      <c r="D65" s="135" t="s">
        <v>500</v>
      </c>
      <c r="E65" s="134">
        <v>91676.35</v>
      </c>
      <c r="F65" s="134">
        <v>91676.35</v>
      </c>
      <c r="G65" s="135" t="s">
        <v>500</v>
      </c>
      <c r="H65" s="136" t="s">
        <v>500</v>
      </c>
    </row>
    <row r="66" spans="1:9" ht="45">
      <c r="A66" s="395" t="s">
        <v>586</v>
      </c>
      <c r="B66" s="133" t="s">
        <v>1541</v>
      </c>
      <c r="C66" s="135" t="s">
        <v>500</v>
      </c>
      <c r="D66" s="135" t="s">
        <v>500</v>
      </c>
      <c r="E66" s="134">
        <v>91676.35</v>
      </c>
      <c r="F66" s="134">
        <v>91676.35</v>
      </c>
      <c r="G66" s="135" t="s">
        <v>500</v>
      </c>
      <c r="H66" s="136" t="s">
        <v>500</v>
      </c>
    </row>
    <row r="67" spans="1:9" ht="45">
      <c r="A67" s="395" t="s">
        <v>588</v>
      </c>
      <c r="B67" s="133" t="s">
        <v>1542</v>
      </c>
      <c r="C67" s="135" t="s">
        <v>500</v>
      </c>
      <c r="D67" s="134">
        <v>98932.97</v>
      </c>
      <c r="E67" s="134">
        <v>236275</v>
      </c>
      <c r="F67" s="134">
        <v>140786.06</v>
      </c>
      <c r="G67" s="135" t="s">
        <v>500</v>
      </c>
      <c r="H67" s="396">
        <v>3444.03</v>
      </c>
      <c r="I67" s="214">
        <f>-H67</f>
        <v>-3444.03</v>
      </c>
    </row>
    <row r="68" spans="1:9" ht="30">
      <c r="A68" s="395" t="s">
        <v>590</v>
      </c>
      <c r="B68" s="133" t="s">
        <v>1543</v>
      </c>
      <c r="C68" s="135" t="s">
        <v>500</v>
      </c>
      <c r="D68" s="134">
        <v>99110.61</v>
      </c>
      <c r="E68" s="134">
        <v>224150</v>
      </c>
      <c r="F68" s="134">
        <v>128287.21</v>
      </c>
      <c r="G68" s="135" t="s">
        <v>500</v>
      </c>
      <c r="H68" s="396">
        <v>3247.82</v>
      </c>
    </row>
    <row r="69" spans="1:9" ht="30">
      <c r="A69" s="395" t="s">
        <v>592</v>
      </c>
      <c r="B69" s="133" t="s">
        <v>1544</v>
      </c>
      <c r="C69" s="137">
        <v>453.25</v>
      </c>
      <c r="D69" s="135" t="s">
        <v>500</v>
      </c>
      <c r="E69" s="134">
        <v>123850</v>
      </c>
      <c r="F69" s="134">
        <v>128287.21</v>
      </c>
      <c r="G69" s="135" t="s">
        <v>500</v>
      </c>
      <c r="H69" s="396">
        <v>3983.96</v>
      </c>
    </row>
    <row r="70" spans="1:9" ht="30">
      <c r="A70" s="395" t="s">
        <v>594</v>
      </c>
      <c r="B70" s="133" t="s">
        <v>1545</v>
      </c>
      <c r="C70" s="135" t="s">
        <v>500</v>
      </c>
      <c r="D70" s="134">
        <v>99563.86</v>
      </c>
      <c r="E70" s="134">
        <v>100300</v>
      </c>
      <c r="F70" s="135" t="s">
        <v>500</v>
      </c>
      <c r="G70" s="137">
        <v>736.14</v>
      </c>
      <c r="H70" s="136" t="s">
        <v>500</v>
      </c>
    </row>
    <row r="71" spans="1:9" ht="45">
      <c r="A71" s="395" t="s">
        <v>596</v>
      </c>
      <c r="B71" s="133" t="s">
        <v>1546</v>
      </c>
      <c r="C71" s="137">
        <v>177.64</v>
      </c>
      <c r="D71" s="135" t="s">
        <v>500</v>
      </c>
      <c r="E71" s="134">
        <v>12125</v>
      </c>
      <c r="F71" s="134">
        <v>12498.85</v>
      </c>
      <c r="G71" s="135" t="s">
        <v>500</v>
      </c>
      <c r="H71" s="397">
        <v>196.21</v>
      </c>
    </row>
    <row r="72" spans="1:9" ht="60">
      <c r="A72" s="395" t="s">
        <v>598</v>
      </c>
      <c r="B72" s="133" t="s">
        <v>1547</v>
      </c>
      <c r="C72" s="137">
        <v>177.64</v>
      </c>
      <c r="D72" s="135" t="s">
        <v>500</v>
      </c>
      <c r="E72" s="134">
        <v>12125</v>
      </c>
      <c r="F72" s="134">
        <v>12498.85</v>
      </c>
      <c r="G72" s="135" t="s">
        <v>500</v>
      </c>
      <c r="H72" s="397">
        <v>196.21</v>
      </c>
    </row>
    <row r="73" spans="1:9" ht="30">
      <c r="A73" s="395" t="s">
        <v>603</v>
      </c>
      <c r="B73" s="133" t="s">
        <v>1548</v>
      </c>
      <c r="C73" s="135" t="s">
        <v>500</v>
      </c>
      <c r="D73" s="134">
        <v>6040.05</v>
      </c>
      <c r="E73" s="134">
        <v>230885</v>
      </c>
      <c r="F73" s="134">
        <v>232475.9</v>
      </c>
      <c r="G73" s="135" t="s">
        <v>500</v>
      </c>
      <c r="H73" s="396">
        <v>7630.95</v>
      </c>
      <c r="I73" s="214">
        <f>-H73</f>
        <v>-7630.95</v>
      </c>
    </row>
    <row r="74" spans="1:9" ht="60">
      <c r="A74" s="395" t="s">
        <v>605</v>
      </c>
      <c r="B74" s="133" t="s">
        <v>1549</v>
      </c>
      <c r="C74" s="135" t="s">
        <v>500</v>
      </c>
      <c r="D74" s="134">
        <v>6040.05</v>
      </c>
      <c r="E74" s="134">
        <v>230885</v>
      </c>
      <c r="F74" s="134">
        <v>232475.9</v>
      </c>
      <c r="G74" s="135" t="s">
        <v>500</v>
      </c>
      <c r="H74" s="396">
        <v>7630.95</v>
      </c>
    </row>
    <row r="75" spans="1:9" ht="45">
      <c r="A75" s="395" t="s">
        <v>607</v>
      </c>
      <c r="B75" s="133" t="s">
        <v>1550</v>
      </c>
      <c r="C75" s="135" t="s">
        <v>500</v>
      </c>
      <c r="D75" s="134">
        <v>15127.37</v>
      </c>
      <c r="E75" s="134">
        <v>829027.16</v>
      </c>
      <c r="F75" s="134">
        <v>833242.01</v>
      </c>
      <c r="G75" s="135" t="s">
        <v>500</v>
      </c>
      <c r="H75" s="396">
        <v>19342.22</v>
      </c>
      <c r="I75" s="214">
        <f>-H75</f>
        <v>-19342.22</v>
      </c>
    </row>
    <row r="76" spans="1:9" ht="45">
      <c r="A76" s="395" t="s">
        <v>609</v>
      </c>
      <c r="B76" s="133" t="s">
        <v>1551</v>
      </c>
      <c r="C76" s="135" t="s">
        <v>500</v>
      </c>
      <c r="D76" s="134">
        <v>15127.37</v>
      </c>
      <c r="E76" s="134">
        <v>829027.16</v>
      </c>
      <c r="F76" s="134">
        <v>833242.01</v>
      </c>
      <c r="G76" s="135" t="s">
        <v>500</v>
      </c>
      <c r="H76" s="396">
        <v>19342.22</v>
      </c>
    </row>
    <row r="77" spans="1:9" ht="45">
      <c r="A77" s="395" t="s">
        <v>611</v>
      </c>
      <c r="B77" s="133" t="s">
        <v>1552</v>
      </c>
      <c r="C77" s="135" t="s">
        <v>500</v>
      </c>
      <c r="D77" s="134">
        <v>1326102.6200000001</v>
      </c>
      <c r="E77" s="134">
        <v>7132004.5199999996</v>
      </c>
      <c r="F77" s="134">
        <v>7965472.9100000001</v>
      </c>
      <c r="G77" s="135" t="s">
        <v>500</v>
      </c>
      <c r="H77" s="396">
        <v>2159571.0099999998</v>
      </c>
      <c r="I77" s="214">
        <f>-H77</f>
        <v>-2159571.0099999998</v>
      </c>
    </row>
    <row r="78" spans="1:9" ht="45">
      <c r="A78" s="395" t="s">
        <v>1553</v>
      </c>
      <c r="B78" s="133" t="s">
        <v>1554</v>
      </c>
      <c r="C78" s="135" t="s">
        <v>500</v>
      </c>
      <c r="D78" s="135" t="s">
        <v>500</v>
      </c>
      <c r="E78" s="134">
        <v>46276.85</v>
      </c>
      <c r="F78" s="134">
        <v>46276.85</v>
      </c>
      <c r="G78" s="135" t="s">
        <v>500</v>
      </c>
      <c r="H78" s="136" t="s">
        <v>500</v>
      </c>
    </row>
    <row r="79" spans="1:9" ht="75">
      <c r="A79" s="395" t="s">
        <v>1555</v>
      </c>
      <c r="B79" s="133" t="s">
        <v>1556</v>
      </c>
      <c r="C79" s="135" t="s">
        <v>500</v>
      </c>
      <c r="D79" s="135" t="s">
        <v>500</v>
      </c>
      <c r="E79" s="134">
        <v>46276.85</v>
      </c>
      <c r="F79" s="134">
        <v>46276.85</v>
      </c>
      <c r="G79" s="135" t="s">
        <v>500</v>
      </c>
      <c r="H79" s="136" t="s">
        <v>500</v>
      </c>
    </row>
    <row r="80" spans="1:9" ht="45">
      <c r="A80" s="395" t="s">
        <v>613</v>
      </c>
      <c r="B80" s="133" t="s">
        <v>1557</v>
      </c>
      <c r="C80" s="135" t="s">
        <v>500</v>
      </c>
      <c r="D80" s="134">
        <v>1326102.6200000001</v>
      </c>
      <c r="E80" s="134">
        <v>7085727.6699999999</v>
      </c>
      <c r="F80" s="134">
        <v>7919196.0599999996</v>
      </c>
      <c r="G80" s="135" t="s">
        <v>500</v>
      </c>
      <c r="H80" s="396">
        <v>2159571.0099999998</v>
      </c>
    </row>
    <row r="81" spans="1:9" ht="75">
      <c r="A81" s="395" t="s">
        <v>615</v>
      </c>
      <c r="B81" s="133" t="s">
        <v>1558</v>
      </c>
      <c r="C81" s="135" t="s">
        <v>500</v>
      </c>
      <c r="D81" s="134">
        <v>1326102.6200000001</v>
      </c>
      <c r="E81" s="134">
        <v>7085727.6699999999</v>
      </c>
      <c r="F81" s="134">
        <v>7919196.0599999996</v>
      </c>
      <c r="G81" s="135" t="s">
        <v>500</v>
      </c>
      <c r="H81" s="396">
        <v>2159571.0099999998</v>
      </c>
    </row>
    <row r="82" spans="1:9" ht="30">
      <c r="A82" s="395" t="s">
        <v>617</v>
      </c>
      <c r="B82" s="133" t="s">
        <v>1559</v>
      </c>
      <c r="C82" s="135" t="s">
        <v>500</v>
      </c>
      <c r="D82" s="135" t="s">
        <v>500</v>
      </c>
      <c r="E82" s="134">
        <v>8742569.0199999996</v>
      </c>
      <c r="F82" s="134">
        <v>8742569.0199999996</v>
      </c>
      <c r="G82" s="135" t="s">
        <v>500</v>
      </c>
      <c r="H82" s="136" t="s">
        <v>500</v>
      </c>
    </row>
    <row r="83" spans="1:9" ht="45">
      <c r="A83" s="395" t="s">
        <v>619</v>
      </c>
      <c r="B83" s="133" t="s">
        <v>1560</v>
      </c>
      <c r="C83" s="135" t="s">
        <v>500</v>
      </c>
      <c r="D83" s="135" t="s">
        <v>500</v>
      </c>
      <c r="E83" s="134">
        <v>77345.52</v>
      </c>
      <c r="F83" s="134">
        <v>77345.52</v>
      </c>
      <c r="G83" s="135" t="s">
        <v>500</v>
      </c>
      <c r="H83" s="136" t="s">
        <v>500</v>
      </c>
    </row>
    <row r="84" spans="1:9" ht="45">
      <c r="A84" s="395" t="s">
        <v>621</v>
      </c>
      <c r="B84" s="133" t="s">
        <v>1561</v>
      </c>
      <c r="C84" s="135" t="s">
        <v>500</v>
      </c>
      <c r="D84" s="135" t="s">
        <v>500</v>
      </c>
      <c r="E84" s="134">
        <v>8665223.5</v>
      </c>
      <c r="F84" s="134">
        <v>8665223.5</v>
      </c>
      <c r="G84" s="135" t="s">
        <v>500</v>
      </c>
      <c r="H84" s="136" t="s">
        <v>500</v>
      </c>
    </row>
    <row r="85" spans="1:9" ht="30">
      <c r="A85" s="395" t="s">
        <v>623</v>
      </c>
      <c r="B85" s="133" t="s">
        <v>1562</v>
      </c>
      <c r="C85" s="135" t="s">
        <v>500</v>
      </c>
      <c r="D85" s="135" t="s">
        <v>500</v>
      </c>
      <c r="E85" s="134">
        <v>9090164.4499999993</v>
      </c>
      <c r="F85" s="134">
        <v>9090164.4499999993</v>
      </c>
      <c r="G85" s="135" t="s">
        <v>500</v>
      </c>
      <c r="H85" s="136" t="s">
        <v>500</v>
      </c>
    </row>
    <row r="86" spans="1:9" ht="45">
      <c r="A86" s="395" t="s">
        <v>625</v>
      </c>
      <c r="B86" s="133" t="s">
        <v>1563</v>
      </c>
      <c r="C86" s="135" t="s">
        <v>500</v>
      </c>
      <c r="D86" s="135" t="s">
        <v>500</v>
      </c>
      <c r="E86" s="134">
        <v>9043887.5999999996</v>
      </c>
      <c r="F86" s="134">
        <v>9043887.5999999996</v>
      </c>
      <c r="G86" s="135" t="s">
        <v>500</v>
      </c>
      <c r="H86" s="136" t="s">
        <v>500</v>
      </c>
    </row>
    <row r="87" spans="1:9" ht="45">
      <c r="A87" s="395" t="s">
        <v>1564</v>
      </c>
      <c r="B87" s="133" t="s">
        <v>1565</v>
      </c>
      <c r="C87" s="135" t="s">
        <v>500</v>
      </c>
      <c r="D87" s="135" t="s">
        <v>500</v>
      </c>
      <c r="E87" s="134">
        <v>46276.85</v>
      </c>
      <c r="F87" s="134">
        <v>46276.85</v>
      </c>
      <c r="G87" s="135" t="s">
        <v>500</v>
      </c>
      <c r="H87" s="136" t="s">
        <v>500</v>
      </c>
    </row>
    <row r="88" spans="1:9" ht="30">
      <c r="A88" s="395" t="s">
        <v>627</v>
      </c>
      <c r="B88" s="133" t="s">
        <v>1566</v>
      </c>
      <c r="C88" s="135" t="s">
        <v>500</v>
      </c>
      <c r="D88" s="135" t="s">
        <v>500</v>
      </c>
      <c r="E88" s="134">
        <v>7966862.7199999997</v>
      </c>
      <c r="F88" s="134">
        <v>7966862.7199999997</v>
      </c>
      <c r="G88" s="135" t="s">
        <v>500</v>
      </c>
      <c r="H88" s="136" t="s">
        <v>500</v>
      </c>
    </row>
    <row r="89" spans="1:9" ht="45">
      <c r="A89" s="395" t="s">
        <v>629</v>
      </c>
      <c r="B89" s="133" t="s">
        <v>1567</v>
      </c>
      <c r="C89" s="135" t="s">
        <v>500</v>
      </c>
      <c r="D89" s="135" t="s">
        <v>500</v>
      </c>
      <c r="E89" s="134">
        <v>56930.559999999998</v>
      </c>
      <c r="F89" s="134">
        <v>56930.559999999998</v>
      </c>
      <c r="G89" s="135" t="s">
        <v>500</v>
      </c>
      <c r="H89" s="136" t="s">
        <v>500</v>
      </c>
    </row>
    <row r="90" spans="1:9" ht="45">
      <c r="A90" s="395" t="s">
        <v>631</v>
      </c>
      <c r="B90" s="133" t="s">
        <v>1568</v>
      </c>
      <c r="C90" s="135" t="s">
        <v>500</v>
      </c>
      <c r="D90" s="135" t="s">
        <v>500</v>
      </c>
      <c r="E90" s="134">
        <v>7909932.1600000001</v>
      </c>
      <c r="F90" s="134">
        <v>7909932.1600000001</v>
      </c>
      <c r="G90" s="135" t="s">
        <v>500</v>
      </c>
      <c r="H90" s="136" t="s">
        <v>500</v>
      </c>
    </row>
    <row r="91" spans="1:9" ht="30">
      <c r="A91" s="395" t="s">
        <v>633</v>
      </c>
      <c r="B91" s="133" t="s">
        <v>1569</v>
      </c>
      <c r="C91" s="135" t="s">
        <v>500</v>
      </c>
      <c r="D91" s="135" t="s">
        <v>500</v>
      </c>
      <c r="E91" s="134">
        <v>438390.3</v>
      </c>
      <c r="F91" s="134">
        <v>438390.3</v>
      </c>
      <c r="G91" s="135" t="s">
        <v>500</v>
      </c>
      <c r="H91" s="136" t="s">
        <v>500</v>
      </c>
    </row>
    <row r="92" spans="1:9" ht="45">
      <c r="A92" s="395" t="s">
        <v>635</v>
      </c>
      <c r="B92" s="133" t="s">
        <v>1570</v>
      </c>
      <c r="C92" s="135" t="s">
        <v>500</v>
      </c>
      <c r="D92" s="135" t="s">
        <v>500</v>
      </c>
      <c r="E92" s="134">
        <v>7977.41</v>
      </c>
      <c r="F92" s="134">
        <v>7977.41</v>
      </c>
      <c r="G92" s="135" t="s">
        <v>500</v>
      </c>
      <c r="H92" s="136" t="s">
        <v>500</v>
      </c>
    </row>
    <row r="93" spans="1:9" ht="45">
      <c r="A93" s="395" t="s">
        <v>639</v>
      </c>
      <c r="B93" s="133" t="s">
        <v>1570</v>
      </c>
      <c r="C93" s="135" t="s">
        <v>500</v>
      </c>
      <c r="D93" s="135" t="s">
        <v>500</v>
      </c>
      <c r="E93" s="134">
        <v>7977.41</v>
      </c>
      <c r="F93" s="134">
        <v>7977.41</v>
      </c>
      <c r="G93" s="135" t="s">
        <v>500</v>
      </c>
      <c r="H93" s="136" t="s">
        <v>500</v>
      </c>
    </row>
    <row r="94" spans="1:9" ht="30">
      <c r="A94" s="395" t="s">
        <v>1571</v>
      </c>
      <c r="B94" s="133" t="s">
        <v>1521</v>
      </c>
      <c r="C94" s="135" t="s">
        <v>500</v>
      </c>
      <c r="D94" s="135" t="s">
        <v>500</v>
      </c>
      <c r="E94" s="134">
        <v>46276.85</v>
      </c>
      <c r="F94" s="134">
        <v>46276.85</v>
      </c>
      <c r="G94" s="135" t="s">
        <v>500</v>
      </c>
      <c r="H94" s="136" t="s">
        <v>500</v>
      </c>
    </row>
    <row r="95" spans="1:9" ht="30.75" thickBot="1">
      <c r="A95" s="395" t="s">
        <v>1572</v>
      </c>
      <c r="B95" s="133" t="s">
        <v>1573</v>
      </c>
      <c r="C95" s="135" t="s">
        <v>500</v>
      </c>
      <c r="D95" s="135" t="s">
        <v>500</v>
      </c>
      <c r="E95" s="134">
        <v>46276.85</v>
      </c>
      <c r="F95" s="134">
        <v>46276.85</v>
      </c>
      <c r="G95" s="135" t="s">
        <v>500</v>
      </c>
      <c r="H95" s="136" t="s">
        <v>500</v>
      </c>
    </row>
    <row r="96" spans="1:9" ht="15.75" thickBot="1">
      <c r="A96" s="398"/>
      <c r="B96" s="399"/>
      <c r="C96" s="400">
        <v>5794165.7599999998</v>
      </c>
      <c r="D96" s="400">
        <v>5794165.7599999998</v>
      </c>
      <c r="E96" s="400">
        <v>177715521.86000001</v>
      </c>
      <c r="F96" s="400">
        <v>177715521.86000001</v>
      </c>
      <c r="G96" s="400">
        <v>7781876.9000000004</v>
      </c>
      <c r="H96" s="401">
        <v>7781876.9000000004</v>
      </c>
      <c r="I96" s="214">
        <f>SUM(I9:I95)</f>
        <v>0</v>
      </c>
    </row>
    <row r="97" spans="1:7" ht="15.75" customHeight="1">
      <c r="A97" s="402" t="s">
        <v>1574</v>
      </c>
      <c r="C97" s="402" t="s">
        <v>1575</v>
      </c>
      <c r="D97" s="402"/>
      <c r="E97" s="403"/>
      <c r="F97" s="403"/>
      <c r="G97" t="s">
        <v>1576</v>
      </c>
    </row>
    <row r="98" spans="1:7" ht="7.5" customHeight="1">
      <c r="E98" s="404" t="s">
        <v>1577</v>
      </c>
      <c r="F98" s="40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1:BF72"/>
  <sheetViews>
    <sheetView topLeftCell="Q7" zoomScale="166" workbookViewId="0">
      <selection activeCell="AT15" sqref="AT15"/>
    </sheetView>
  </sheetViews>
  <sheetFormatPr defaultColWidth="9.140625" defaultRowHeight="12.75" outlineLevelRow="1" outlineLevelCol="1"/>
  <cols>
    <col min="1" max="1" width="2.42578125" style="141" customWidth="1"/>
    <col min="2" max="2" width="14.28515625" style="141" hidden="1" customWidth="1" outlineLevel="1"/>
    <col min="3" max="3" width="19.42578125" style="141" hidden="1" customWidth="1" outlineLevel="1"/>
    <col min="4" max="4" width="18.140625" style="141" hidden="1" customWidth="1" outlineLevel="1"/>
    <col min="5" max="5" width="12.42578125" style="141" hidden="1" customWidth="1" outlineLevel="1"/>
    <col min="6" max="6" width="11.28515625" style="141" hidden="1" customWidth="1" outlineLevel="1"/>
    <col min="7" max="7" width="10.42578125" style="141" hidden="1" customWidth="1" outlineLevel="1"/>
    <col min="8" max="8" width="26.42578125" style="141" hidden="1" customWidth="1" outlineLevel="1"/>
    <col min="9" max="9" width="2.28515625" style="141" bestFit="1" customWidth="1" collapsed="1"/>
    <col min="10" max="43" width="2.28515625" style="141" customWidth="1"/>
    <col min="44" max="44" width="8.7109375" style="141" customWidth="1"/>
    <col min="45" max="45" width="10.42578125" style="141" customWidth="1"/>
    <col min="46" max="46" width="11.28515625" style="141" bestFit="1" customWidth="1"/>
    <col min="47" max="48" width="11.28515625" style="141" customWidth="1"/>
    <col min="49" max="49" width="10.42578125" style="141" bestFit="1" customWidth="1"/>
    <col min="50" max="50" width="17.140625" style="141" customWidth="1"/>
    <col min="51" max="51" width="8" style="141" customWidth="1"/>
    <col min="52" max="52" width="11.28515625" style="141" bestFit="1" customWidth="1"/>
    <col min="53" max="53" width="15.7109375" style="141" customWidth="1"/>
    <col min="54" max="54" width="14.85546875" style="141" customWidth="1"/>
    <col min="55" max="55" width="12.85546875" style="141" customWidth="1"/>
    <col min="56" max="56" width="16" style="141" customWidth="1"/>
    <col min="57" max="16384" width="9.140625" style="141"/>
  </cols>
  <sheetData>
    <row r="1" spans="2:58" outlineLevel="1"/>
    <row r="2" spans="2:58" ht="15" outlineLevel="1">
      <c r="D2" s="141" t="s">
        <v>1596</v>
      </c>
      <c r="H2" s="536" t="s">
        <v>1597</v>
      </c>
      <c r="I2" s="141" t="s">
        <v>1596</v>
      </c>
      <c r="AW2" s="772"/>
      <c r="AX2" s="772"/>
      <c r="AY2" s="772"/>
      <c r="AZ2" s="772"/>
      <c r="BA2" s="772"/>
      <c r="BB2" s="772"/>
      <c r="BC2" s="772"/>
      <c r="BD2" s="772"/>
      <c r="BE2" s="772"/>
      <c r="BF2" s="772"/>
    </row>
    <row r="3" spans="2:58" ht="15" outlineLevel="1">
      <c r="H3" s="536" t="s">
        <v>1598</v>
      </c>
      <c r="I3" s="141" t="s">
        <v>1596</v>
      </c>
      <c r="AW3" s="525"/>
      <c r="AX3" s="525"/>
      <c r="AY3" s="525"/>
      <c r="AZ3" s="525"/>
      <c r="BA3" s="525"/>
      <c r="BB3" s="525"/>
      <c r="BC3" s="525"/>
      <c r="BD3" s="525"/>
      <c r="BE3" s="525"/>
      <c r="BF3" s="525"/>
    </row>
    <row r="4" spans="2:58" ht="15" outlineLevel="1">
      <c r="H4" s="536" t="s">
        <v>1599</v>
      </c>
      <c r="AW4" s="772"/>
      <c r="AX4" s="772"/>
      <c r="AY4" s="773"/>
      <c r="AZ4" s="772"/>
      <c r="BA4" s="772"/>
      <c r="BB4" s="773"/>
      <c r="BC4" s="773"/>
      <c r="BD4" s="525"/>
      <c r="BE4" s="525"/>
      <c r="BF4" s="525"/>
    </row>
    <row r="5" spans="2:58" ht="15" outlineLevel="1">
      <c r="H5" s="536" t="s">
        <v>1600</v>
      </c>
      <c r="I5" s="141" t="s">
        <v>1601</v>
      </c>
      <c r="AW5" s="561"/>
      <c r="AX5" s="561"/>
      <c r="AY5" s="773"/>
      <c r="AZ5" s="561"/>
      <c r="BA5" s="561"/>
      <c r="BB5" s="773"/>
      <c r="BC5" s="773"/>
      <c r="BD5" s="525"/>
      <c r="BE5" s="525"/>
      <c r="BF5" s="525"/>
    </row>
    <row r="6" spans="2:58" ht="15" outlineLevel="1">
      <c r="B6" s="141" t="s">
        <v>1602</v>
      </c>
      <c r="AW6" s="562"/>
      <c r="AX6" s="562"/>
      <c r="AY6" s="562"/>
      <c r="AZ6" s="562"/>
      <c r="BA6" s="562"/>
      <c r="BB6" s="562"/>
      <c r="BC6" s="562"/>
      <c r="BD6" s="525"/>
      <c r="BE6" s="525"/>
      <c r="BF6" s="525"/>
    </row>
    <row r="7" spans="2:58" ht="5.25" customHeight="1" outlineLevel="1">
      <c r="AW7" s="562"/>
      <c r="AX7" s="562"/>
      <c r="AY7" s="562"/>
      <c r="AZ7" s="562"/>
      <c r="BA7" s="562"/>
      <c r="BB7" s="562"/>
      <c r="BC7" s="562"/>
      <c r="BD7" s="562"/>
      <c r="BE7" s="562"/>
      <c r="BF7" s="525"/>
    </row>
    <row r="8" spans="2:58" ht="15" outlineLevel="1">
      <c r="B8" s="537" t="s">
        <v>1603</v>
      </c>
      <c r="C8" s="538" t="s">
        <v>1604</v>
      </c>
      <c r="D8" s="537" t="s">
        <v>1605</v>
      </c>
      <c r="Z8" s="776">
        <v>0.18</v>
      </c>
      <c r="AA8" s="776"/>
      <c r="AB8" s="776"/>
      <c r="AC8" s="776"/>
      <c r="AD8" s="776"/>
      <c r="AL8" s="776">
        <v>0.18</v>
      </c>
      <c r="AM8" s="776"/>
      <c r="AN8" s="776"/>
      <c r="AO8" s="776"/>
      <c r="AP8" s="776"/>
      <c r="AQ8" s="142"/>
      <c r="AR8" s="142"/>
      <c r="AS8" s="142"/>
      <c r="AW8" s="772"/>
      <c r="AX8" s="772"/>
      <c r="AY8" s="772"/>
      <c r="AZ8" s="772"/>
      <c r="BA8" s="772"/>
      <c r="BB8" s="772"/>
      <c r="BC8" s="772"/>
      <c r="BD8" s="772"/>
      <c r="BE8" s="772"/>
      <c r="BF8" s="772"/>
    </row>
    <row r="9" spans="2:58" ht="14.1" customHeight="1" outlineLevel="1">
      <c r="B9" s="539">
        <v>40908</v>
      </c>
      <c r="C9" s="540">
        <f>(6971+2690)*1000</f>
        <v>9661000</v>
      </c>
      <c r="D9" s="540">
        <f>C9/12</f>
        <v>805083.33333333337</v>
      </c>
      <c r="Z9" s="777" t="s">
        <v>1583</v>
      </c>
      <c r="AA9" s="777"/>
      <c r="AB9" s="777"/>
      <c r="AC9" s="777"/>
      <c r="AD9" s="777"/>
      <c r="AE9" s="532"/>
      <c r="AF9" s="777" t="s">
        <v>472</v>
      </c>
      <c r="AG9" s="777"/>
      <c r="AH9" s="777"/>
      <c r="AI9" s="777"/>
      <c r="AJ9" s="777"/>
      <c r="AL9" s="777" t="s">
        <v>1584</v>
      </c>
      <c r="AM9" s="777"/>
      <c r="AN9" s="777"/>
      <c r="AO9" s="777"/>
      <c r="AP9" s="777"/>
      <c r="AQ9" s="532"/>
      <c r="AR9" s="777" t="s">
        <v>1585</v>
      </c>
      <c r="AS9" s="777"/>
      <c r="AT9" s="777"/>
      <c r="AU9" s="776">
        <v>2020</v>
      </c>
      <c r="AV9" s="776"/>
      <c r="AW9" s="525"/>
      <c r="AX9" s="525"/>
      <c r="AY9" s="525"/>
      <c r="AZ9" s="525"/>
      <c r="BA9" s="525"/>
      <c r="BB9" s="525"/>
      <c r="BC9" s="525"/>
      <c r="BD9" s="525"/>
      <c r="BE9" s="525"/>
      <c r="BF9" s="525"/>
    </row>
    <row r="10" spans="2:58" ht="15" outlineLevel="1">
      <c r="B10" s="539">
        <v>41274</v>
      </c>
      <c r="C10" s="538"/>
      <c r="D10" s="541">
        <v>927867.25749999983</v>
      </c>
      <c r="E10" s="542" t="s">
        <v>1606</v>
      </c>
      <c r="Z10" s="777"/>
      <c r="AA10" s="777"/>
      <c r="AB10" s="777"/>
      <c r="AC10" s="777"/>
      <c r="AD10" s="777"/>
      <c r="AE10" s="532"/>
      <c r="AF10" s="777"/>
      <c r="AG10" s="777"/>
      <c r="AH10" s="777"/>
      <c r="AI10" s="777"/>
      <c r="AJ10" s="777"/>
      <c r="AL10" s="777"/>
      <c r="AM10" s="777"/>
      <c r="AN10" s="777"/>
      <c r="AO10" s="777"/>
      <c r="AP10" s="777"/>
      <c r="AQ10" s="532"/>
      <c r="AR10" s="532" t="s">
        <v>1586</v>
      </c>
      <c r="AS10" s="543" t="s">
        <v>1587</v>
      </c>
      <c r="AT10" s="544" t="s">
        <v>1588</v>
      </c>
      <c r="AU10" s="141" t="s">
        <v>1589</v>
      </c>
      <c r="AV10" s="141" t="s">
        <v>1590</v>
      </c>
      <c r="AW10" s="772"/>
      <c r="AX10" s="772"/>
      <c r="AY10" s="773"/>
      <c r="AZ10" s="772"/>
      <c r="BA10" s="772"/>
      <c r="BB10" s="773"/>
      <c r="BC10" s="773"/>
      <c r="BD10" s="773"/>
      <c r="BE10" s="773"/>
      <c r="BF10" s="773"/>
    </row>
    <row r="11" spans="2:58" ht="15" outlineLevel="1">
      <c r="B11" s="545"/>
      <c r="C11" s="536"/>
      <c r="Z11" s="778"/>
      <c r="AA11" s="778"/>
      <c r="AB11" s="778"/>
      <c r="AC11" s="778"/>
      <c r="AD11" s="778"/>
      <c r="AE11" s="533"/>
      <c r="AF11" s="778"/>
      <c r="AG11" s="778"/>
      <c r="AH11" s="778"/>
      <c r="AI11" s="778"/>
      <c r="AJ11" s="778"/>
      <c r="AK11" s="534"/>
      <c r="AL11" s="778"/>
      <c r="AM11" s="778"/>
      <c r="AN11" s="778"/>
      <c r="AO11" s="778"/>
      <c r="AP11" s="778"/>
      <c r="AQ11" s="532"/>
      <c r="AR11" s="532"/>
      <c r="AS11" s="532"/>
      <c r="AW11" s="561"/>
      <c r="AX11" s="561"/>
      <c r="AY11" s="773"/>
      <c r="AZ11" s="561"/>
      <c r="BA11" s="561"/>
      <c r="BB11" s="773"/>
      <c r="BC11" s="561"/>
      <c r="BD11" s="561"/>
      <c r="BE11" s="773"/>
      <c r="BF11" s="773"/>
    </row>
    <row r="12" spans="2:58" ht="15" outlineLevel="1">
      <c r="B12" s="545" t="s">
        <v>1607</v>
      </c>
      <c r="C12" s="536"/>
      <c r="J12" s="774" t="s">
        <v>46</v>
      </c>
      <c r="K12" s="774"/>
      <c r="L12" s="774"/>
      <c r="M12" s="774"/>
      <c r="N12" s="774"/>
      <c r="O12" s="774"/>
      <c r="P12" s="774"/>
      <c r="Q12" s="774"/>
      <c r="R12" s="774"/>
      <c r="S12" s="774"/>
      <c r="T12" s="774"/>
      <c r="U12" s="774"/>
      <c r="V12" s="774"/>
      <c r="W12" s="774"/>
      <c r="Z12" s="775"/>
      <c r="AA12" s="775"/>
      <c r="AB12" s="775"/>
      <c r="AC12" s="775"/>
      <c r="AD12" s="775"/>
      <c r="AE12" s="535"/>
      <c r="AF12" s="775">
        <f>AL12-Z12</f>
        <v>-146.16</v>
      </c>
      <c r="AG12" s="775"/>
      <c r="AH12" s="775"/>
      <c r="AI12" s="775"/>
      <c r="AJ12" s="775"/>
      <c r="AL12" s="775">
        <f>AS12*AL8</f>
        <v>-146.16</v>
      </c>
      <c r="AM12" s="775"/>
      <c r="AN12" s="775"/>
      <c r="AO12" s="775"/>
      <c r="AP12" s="775"/>
      <c r="AQ12" s="535"/>
      <c r="AR12" s="546"/>
      <c r="AS12" s="535">
        <f>AU12-AV12</f>
        <v>-812</v>
      </c>
      <c r="AT12" s="546"/>
      <c r="AU12" s="141">
        <f>AX6/1000</f>
        <v>0</v>
      </c>
      <c r="AV12" s="141">
        <v>812</v>
      </c>
      <c r="AW12" s="562"/>
      <c r="AX12" s="141">
        <v>812262</v>
      </c>
      <c r="AY12" s="141">
        <f>-AX12*0.18</f>
        <v>-146207.16</v>
      </c>
      <c r="BA12" s="562"/>
      <c r="BB12" s="562"/>
      <c r="BC12" s="562"/>
      <c r="BD12" s="562"/>
      <c r="BE12" s="562"/>
      <c r="BF12" s="562"/>
    </row>
    <row r="13" spans="2:58" ht="15" outlineLevel="1">
      <c r="B13" s="545"/>
      <c r="C13" s="536"/>
      <c r="J13" s="774" t="s">
        <v>1408</v>
      </c>
      <c r="K13" s="774"/>
      <c r="L13" s="774"/>
      <c r="M13" s="774"/>
      <c r="N13" s="774"/>
      <c r="O13" s="774"/>
      <c r="P13" s="774"/>
      <c r="Q13" s="774"/>
      <c r="R13" s="774"/>
      <c r="S13" s="774"/>
      <c r="T13" s="774"/>
      <c r="U13" s="774"/>
      <c r="V13" s="774"/>
      <c r="W13" s="774"/>
      <c r="Z13" s="775"/>
      <c r="AA13" s="775"/>
      <c r="AB13" s="775"/>
      <c r="AC13" s="775"/>
      <c r="AD13" s="775"/>
      <c r="AE13" s="535"/>
      <c r="AF13" s="775">
        <f>AL13-Z13</f>
        <v>91.44</v>
      </c>
      <c r="AG13" s="775"/>
      <c r="AH13" s="775"/>
      <c r="AI13" s="775"/>
      <c r="AJ13" s="775"/>
      <c r="AL13" s="775">
        <f>-AS13*AL8</f>
        <v>91.44</v>
      </c>
      <c r="AM13" s="775"/>
      <c r="AN13" s="775"/>
      <c r="AO13" s="775"/>
      <c r="AP13" s="775"/>
      <c r="AQ13" s="535"/>
      <c r="AR13" s="535"/>
      <c r="AS13" s="535">
        <f>AU13-AV13</f>
        <v>-508</v>
      </c>
      <c r="AT13" s="546">
        <f>AZ13-BA13</f>
        <v>0</v>
      </c>
      <c r="AU13" s="141">
        <v>0</v>
      </c>
      <c r="AV13" s="141">
        <v>508</v>
      </c>
      <c r="AW13" s="525"/>
      <c r="AX13" s="141">
        <v>178139</v>
      </c>
      <c r="AY13" s="141">
        <f>AX13*0.18</f>
        <v>32065.02</v>
      </c>
      <c r="BA13" s="525"/>
      <c r="BB13" s="525"/>
      <c r="BC13" s="525"/>
      <c r="BD13" s="525"/>
      <c r="BE13" s="525"/>
      <c r="BF13" s="525"/>
    </row>
    <row r="14" spans="2:58" ht="15" outlineLevel="1">
      <c r="B14" s="537"/>
      <c r="C14" s="547">
        <v>0.25</v>
      </c>
      <c r="D14" s="547">
        <v>0.5</v>
      </c>
      <c r="E14" s="547">
        <v>1</v>
      </c>
      <c r="G14" s="537"/>
      <c r="J14" s="774" t="s">
        <v>80</v>
      </c>
      <c r="K14" s="774"/>
      <c r="L14" s="774"/>
      <c r="M14" s="774"/>
      <c r="N14" s="774"/>
      <c r="O14" s="774"/>
      <c r="P14" s="774"/>
      <c r="Q14" s="774"/>
      <c r="R14" s="774"/>
      <c r="S14" s="774"/>
      <c r="T14" s="774"/>
      <c r="U14" s="774"/>
      <c r="V14" s="774"/>
      <c r="W14" s="774"/>
      <c r="Z14" s="775"/>
      <c r="AA14" s="775"/>
      <c r="AB14" s="775"/>
      <c r="AC14" s="775"/>
      <c r="AD14" s="775"/>
      <c r="AE14" s="535"/>
      <c r="AF14" s="775">
        <f>AL14-Z14</f>
        <v>32.04</v>
      </c>
      <c r="AG14" s="775"/>
      <c r="AH14" s="775"/>
      <c r="AI14" s="775"/>
      <c r="AJ14" s="775"/>
      <c r="AL14" s="775">
        <f>-AS14*AL8</f>
        <v>32.04</v>
      </c>
      <c r="AM14" s="775"/>
      <c r="AN14" s="775"/>
      <c r="AO14" s="775"/>
      <c r="AP14" s="775"/>
      <c r="AQ14" s="535"/>
      <c r="AR14" s="535"/>
      <c r="AS14" s="535">
        <f>AU14-AV14</f>
        <v>-178</v>
      </c>
      <c r="AT14" s="546"/>
      <c r="AU14" s="141">
        <v>0</v>
      </c>
      <c r="AV14" s="141">
        <v>178</v>
      </c>
      <c r="AW14"/>
      <c r="AX14" s="141">
        <v>507873</v>
      </c>
      <c r="AY14" s="141">
        <f>AX14*0.18</f>
        <v>91417.14</v>
      </c>
      <c r="BA14"/>
      <c r="BB14"/>
      <c r="BC14"/>
      <c r="BD14"/>
      <c r="BE14"/>
      <c r="BF14"/>
    </row>
    <row r="15" spans="2:58" outlineLevel="1">
      <c r="B15" s="537"/>
      <c r="C15" s="537" t="s">
        <v>1608</v>
      </c>
      <c r="D15" s="537" t="s">
        <v>1609</v>
      </c>
      <c r="E15" s="537" t="s">
        <v>1610</v>
      </c>
      <c r="F15" s="537" t="s">
        <v>1611</v>
      </c>
      <c r="G15" s="537" t="s">
        <v>1612</v>
      </c>
      <c r="J15" s="774" t="s">
        <v>1409</v>
      </c>
      <c r="K15" s="774"/>
      <c r="L15" s="774"/>
      <c r="M15" s="774"/>
      <c r="N15" s="774"/>
      <c r="O15" s="774"/>
      <c r="P15" s="774"/>
      <c r="Q15" s="774"/>
      <c r="R15" s="774"/>
      <c r="S15" s="774"/>
      <c r="T15" s="774"/>
      <c r="U15" s="774"/>
      <c r="V15" s="774"/>
      <c r="W15" s="774"/>
      <c r="Z15" s="775"/>
      <c r="AA15" s="775"/>
      <c r="AB15" s="775"/>
      <c r="AC15" s="775"/>
      <c r="AD15" s="775"/>
      <c r="AE15" s="535"/>
      <c r="AF15" s="775">
        <f>AL15-Z15</f>
        <v>0</v>
      </c>
      <c r="AG15" s="775"/>
      <c r="AH15" s="775"/>
      <c r="AI15" s="775"/>
      <c r="AJ15" s="775"/>
      <c r="AL15" s="775">
        <f>-AS15*AL8</f>
        <v>0</v>
      </c>
      <c r="AM15" s="775"/>
      <c r="AN15" s="775"/>
      <c r="AO15" s="775"/>
      <c r="AP15" s="775"/>
      <c r="AQ15" s="535"/>
      <c r="AR15" s="535"/>
      <c r="AS15" s="535">
        <f>AU15-AV15</f>
        <v>0</v>
      </c>
      <c r="AT15" s="546"/>
      <c r="AU15" s="141">
        <v>0</v>
      </c>
      <c r="AY15" s="141">
        <f>SUM(AY12:AY14)</f>
        <v>-22725</v>
      </c>
      <c r="AZ15" s="141" t="s">
        <v>1635</v>
      </c>
    </row>
    <row r="16" spans="2:58" outlineLevel="1">
      <c r="B16" s="539" t="s">
        <v>1613</v>
      </c>
      <c r="C16" s="541">
        <v>7500167.4699999997</v>
      </c>
      <c r="D16" s="541">
        <v>385147.35000000003</v>
      </c>
      <c r="E16" s="547">
        <v>1156911.74</v>
      </c>
      <c r="F16" s="537"/>
      <c r="G16" s="547">
        <v>0</v>
      </c>
      <c r="J16" s="774" t="s">
        <v>1591</v>
      </c>
      <c r="K16" s="774"/>
      <c r="L16" s="774"/>
      <c r="M16" s="774"/>
      <c r="N16" s="774"/>
      <c r="O16" s="774"/>
      <c r="P16" s="774"/>
      <c r="Q16" s="774"/>
      <c r="R16" s="774"/>
      <c r="S16" s="774"/>
      <c r="T16" s="774"/>
      <c r="U16" s="774"/>
      <c r="V16" s="774"/>
      <c r="W16" s="774"/>
      <c r="Z16" s="775"/>
      <c r="AA16" s="775"/>
      <c r="AB16" s="775"/>
      <c r="AC16" s="775"/>
      <c r="AD16" s="775"/>
      <c r="AE16" s="535"/>
      <c r="AF16" s="775"/>
      <c r="AG16" s="775"/>
      <c r="AH16" s="775"/>
      <c r="AI16" s="775"/>
      <c r="AJ16" s="775"/>
      <c r="AL16" s="775"/>
      <c r="AM16" s="775"/>
      <c r="AN16" s="775"/>
      <c r="AO16" s="775"/>
      <c r="AP16" s="775"/>
      <c r="AQ16" s="535"/>
      <c r="AR16" s="535"/>
      <c r="AS16" s="535"/>
      <c r="AT16" s="546"/>
      <c r="AZ16" s="141" t="s">
        <v>1636</v>
      </c>
    </row>
    <row r="17" spans="2:54" outlineLevel="1">
      <c r="B17" s="539" t="s">
        <v>1614</v>
      </c>
      <c r="C17" s="541">
        <v>2118298.7600000002</v>
      </c>
      <c r="D17" s="541">
        <v>6003761.04</v>
      </c>
      <c r="E17" s="547">
        <v>4653751.3099999996</v>
      </c>
      <c r="F17" s="537"/>
      <c r="G17" s="547"/>
      <c r="J17" s="774" t="s">
        <v>1592</v>
      </c>
      <c r="K17" s="774"/>
      <c r="L17" s="774"/>
      <c r="M17" s="774"/>
      <c r="N17" s="774"/>
      <c r="O17" s="774"/>
      <c r="P17" s="774"/>
      <c r="Q17" s="774"/>
      <c r="R17" s="774"/>
      <c r="S17" s="774"/>
      <c r="T17" s="774"/>
      <c r="U17" s="774"/>
      <c r="V17" s="774"/>
      <c r="W17" s="774"/>
      <c r="Z17" s="775"/>
      <c r="AA17" s="775"/>
      <c r="AB17" s="775"/>
      <c r="AC17" s="775"/>
      <c r="AD17" s="775"/>
      <c r="AE17" s="535"/>
      <c r="AF17" s="775"/>
      <c r="AG17" s="775"/>
      <c r="AH17" s="775"/>
      <c r="AI17" s="775"/>
      <c r="AJ17" s="775"/>
      <c r="AL17" s="775"/>
      <c r="AM17" s="775"/>
      <c r="AN17" s="775"/>
      <c r="AO17" s="775"/>
      <c r="AP17" s="775"/>
      <c r="AQ17" s="535"/>
      <c r="AR17" s="535"/>
      <c r="AS17" s="535"/>
      <c r="AT17" s="546"/>
    </row>
    <row r="18" spans="2:54" outlineLevel="1">
      <c r="B18" s="539" t="s">
        <v>1615</v>
      </c>
      <c r="C18" s="541">
        <f>C16*C14</f>
        <v>1875041.8674999999</v>
      </c>
      <c r="D18" s="541">
        <f t="shared" ref="D18:E18" si="0">D16*D14</f>
        <v>192573.67500000002</v>
      </c>
      <c r="E18" s="541">
        <f t="shared" si="0"/>
        <v>1156911.74</v>
      </c>
      <c r="F18" s="548">
        <f>SUM(C18:E18)</f>
        <v>3224527.2824999997</v>
      </c>
      <c r="G18" s="548">
        <v>1069051.0900000001</v>
      </c>
      <c r="J18" s="774" t="s">
        <v>1593</v>
      </c>
      <c r="K18" s="774"/>
      <c r="L18" s="774"/>
      <c r="M18" s="774"/>
      <c r="N18" s="774"/>
      <c r="O18" s="774"/>
      <c r="P18" s="774"/>
      <c r="Q18" s="774"/>
      <c r="R18" s="774"/>
      <c r="S18" s="774"/>
      <c r="T18" s="774"/>
      <c r="U18" s="774"/>
      <c r="V18" s="774"/>
      <c r="W18" s="774"/>
      <c r="Z18" s="775"/>
      <c r="AA18" s="775"/>
      <c r="AB18" s="775"/>
      <c r="AC18" s="775"/>
      <c r="AD18" s="775"/>
      <c r="AE18" s="535"/>
      <c r="AF18" s="775"/>
      <c r="AG18" s="775"/>
      <c r="AH18" s="775"/>
      <c r="AI18" s="775"/>
      <c r="AJ18" s="775"/>
      <c r="AL18" s="775"/>
      <c r="AM18" s="775"/>
      <c r="AN18" s="775"/>
      <c r="AO18" s="775"/>
      <c r="AP18" s="775"/>
      <c r="AQ18" s="535"/>
      <c r="AR18" s="535"/>
      <c r="AS18" s="535">
        <f>-(AW18-AX18)</f>
        <v>0</v>
      </c>
      <c r="AT18" s="546">
        <f>-(AZ18-BA18)</f>
        <v>0</v>
      </c>
    </row>
    <row r="19" spans="2:54" outlineLevel="1">
      <c r="B19" s="539" t="s">
        <v>1616</v>
      </c>
      <c r="C19" s="541">
        <f>C17*C14</f>
        <v>529574.69000000006</v>
      </c>
      <c r="D19" s="541">
        <f t="shared" ref="D19:E19" si="1">D17*D14</f>
        <v>3001880.52</v>
      </c>
      <c r="E19" s="541">
        <f t="shared" si="1"/>
        <v>4653751.3099999996</v>
      </c>
      <c r="F19" s="548">
        <f>SUM(C19:E19)</f>
        <v>8185206.5199999996</v>
      </c>
      <c r="G19" s="548">
        <v>1069051.0900000001</v>
      </c>
      <c r="J19" s="779" t="s">
        <v>1594</v>
      </c>
      <c r="K19" s="779"/>
      <c r="L19" s="779"/>
      <c r="M19" s="779"/>
      <c r="N19" s="779"/>
      <c r="O19" s="779"/>
      <c r="P19" s="779"/>
      <c r="Q19" s="779"/>
      <c r="R19" s="779"/>
      <c r="S19" s="779"/>
      <c r="T19" s="779"/>
      <c r="U19" s="779"/>
      <c r="V19" s="779"/>
      <c r="W19" s="779"/>
      <c r="Z19" s="785"/>
      <c r="AA19" s="785"/>
      <c r="AB19" s="785"/>
      <c r="AC19" s="785"/>
      <c r="AD19" s="785"/>
      <c r="AE19" s="535"/>
      <c r="AF19" s="786"/>
      <c r="AG19" s="786"/>
      <c r="AH19" s="786"/>
      <c r="AI19" s="786"/>
      <c r="AJ19" s="786"/>
      <c r="AL19" s="785"/>
      <c r="AM19" s="785"/>
      <c r="AN19" s="785"/>
      <c r="AO19" s="785"/>
      <c r="AP19" s="785"/>
      <c r="AQ19" s="535"/>
      <c r="AR19" s="535"/>
      <c r="AS19" s="535"/>
      <c r="AT19" s="546"/>
    </row>
    <row r="20" spans="2:54" outlineLevel="1">
      <c r="J20" s="779" t="s">
        <v>1595</v>
      </c>
      <c r="K20" s="779"/>
      <c r="L20" s="779"/>
      <c r="M20" s="779"/>
      <c r="N20" s="779"/>
      <c r="O20" s="779"/>
      <c r="P20" s="779"/>
      <c r="Q20" s="779"/>
      <c r="R20" s="779"/>
      <c r="S20" s="779"/>
      <c r="T20" s="779"/>
      <c r="U20" s="779"/>
      <c r="V20" s="779"/>
      <c r="W20" s="779"/>
      <c r="Z20" s="780">
        <f>SUM(Z12:AD18)</f>
        <v>0</v>
      </c>
      <c r="AA20" s="780"/>
      <c r="AB20" s="780"/>
      <c r="AC20" s="780"/>
      <c r="AD20" s="780"/>
      <c r="AE20" s="389"/>
      <c r="AF20" s="780">
        <f>AF12+AF13+AF15+AF14</f>
        <v>-22.68</v>
      </c>
      <c r="AG20" s="780"/>
      <c r="AH20" s="780"/>
      <c r="AI20" s="780"/>
      <c r="AJ20" s="780"/>
      <c r="AK20" s="155"/>
      <c r="AL20" s="780">
        <f>SUM(AL12:AP18)</f>
        <v>-22.68</v>
      </c>
      <c r="AM20" s="780"/>
      <c r="AN20" s="780"/>
      <c r="AO20" s="780"/>
      <c r="AP20" s="780"/>
      <c r="AQ20" s="389"/>
      <c r="AR20" s="389"/>
      <c r="AS20" s="389"/>
      <c r="AT20" s="546"/>
      <c r="AU20" s="549" t="s">
        <v>1617</v>
      </c>
      <c r="AV20" s="549"/>
      <c r="BA20" s="141">
        <f>BA21-BA22</f>
        <v>14394.279999999999</v>
      </c>
    </row>
    <row r="21" spans="2:54" ht="15" outlineLevel="1">
      <c r="F21" s="549">
        <f>F19-F18</f>
        <v>4960679.2374999998</v>
      </c>
      <c r="AF21" s="781"/>
      <c r="AG21" s="782"/>
      <c r="AH21" s="782"/>
      <c r="AI21" s="782"/>
      <c r="AJ21" s="782"/>
      <c r="AL21" s="783"/>
      <c r="AM21" s="784"/>
      <c r="AN21" s="784"/>
      <c r="AO21" s="784"/>
      <c r="AP21" s="784"/>
      <c r="AQ21" s="784"/>
      <c r="AR21"/>
      <c r="AU21" s="549"/>
      <c r="AV21" s="549"/>
      <c r="AX21" s="549"/>
      <c r="BA21" s="141">
        <v>52274.2</v>
      </c>
    </row>
    <row r="22" spans="2:54" outlineLevel="1">
      <c r="BA22" s="141">
        <v>37879.919999999998</v>
      </c>
    </row>
    <row r="23" spans="2:54" outlineLevel="1">
      <c r="AW23" s="141">
        <v>3414573</v>
      </c>
      <c r="AX23" s="141">
        <v>3204129</v>
      </c>
      <c r="AZ23" s="141">
        <f>AW23-AX23</f>
        <v>210444</v>
      </c>
      <c r="BA23" s="141">
        <f>AZ23*0.18</f>
        <v>37879.919999999998</v>
      </c>
    </row>
    <row r="24" spans="2:54" outlineLevel="1">
      <c r="Z24" s="776">
        <v>0.18</v>
      </c>
      <c r="AA24" s="776"/>
      <c r="AB24" s="776"/>
      <c r="AC24" s="776"/>
      <c r="AD24" s="776"/>
      <c r="AL24" s="776">
        <v>0.18</v>
      </c>
      <c r="AM24" s="776"/>
      <c r="AN24" s="776"/>
      <c r="AO24" s="776"/>
      <c r="AP24" s="776"/>
      <c r="AQ24" s="142"/>
      <c r="AR24" s="142"/>
      <c r="AS24" s="142"/>
    </row>
    <row r="25" spans="2:54" ht="14.1" customHeight="1">
      <c r="Z25" s="777" t="s">
        <v>1618</v>
      </c>
      <c r="AA25" s="777"/>
      <c r="AB25" s="777"/>
      <c r="AC25" s="777"/>
      <c r="AD25" s="777"/>
      <c r="AE25" s="532"/>
      <c r="AF25" s="777" t="s">
        <v>472</v>
      </c>
      <c r="AG25" s="777"/>
      <c r="AH25" s="777"/>
      <c r="AI25" s="777"/>
      <c r="AJ25" s="777"/>
      <c r="AL25" s="777" t="s">
        <v>1583</v>
      </c>
      <c r="AM25" s="777"/>
      <c r="AN25" s="777"/>
      <c r="AO25" s="777"/>
      <c r="AP25" s="777"/>
      <c r="AQ25" s="532"/>
      <c r="AR25" s="777" t="s">
        <v>1585</v>
      </c>
      <c r="AS25" s="777"/>
      <c r="AT25" s="777"/>
      <c r="AU25" s="777">
        <v>2017</v>
      </c>
      <c r="AV25" s="777"/>
      <c r="AW25" s="776">
        <v>2018</v>
      </c>
      <c r="AX25" s="776"/>
      <c r="AZ25" s="776">
        <v>2019</v>
      </c>
      <c r="BA25" s="776"/>
    </row>
    <row r="26" spans="2:54">
      <c r="Z26" s="777"/>
      <c r="AA26" s="777"/>
      <c r="AB26" s="777"/>
      <c r="AC26" s="777"/>
      <c r="AD26" s="777"/>
      <c r="AE26" s="532"/>
      <c r="AF26" s="777"/>
      <c r="AG26" s="777"/>
      <c r="AH26" s="777"/>
      <c r="AI26" s="777"/>
      <c r="AJ26" s="777"/>
      <c r="AL26" s="777"/>
      <c r="AM26" s="777"/>
      <c r="AN26" s="777"/>
      <c r="AO26" s="777"/>
      <c r="AP26" s="777"/>
      <c r="AQ26" s="532"/>
      <c r="AR26" s="532" t="s">
        <v>1619</v>
      </c>
      <c r="AS26" s="543" t="s">
        <v>1273</v>
      </c>
      <c r="AT26" s="544" t="s">
        <v>1586</v>
      </c>
      <c r="AU26" s="141" t="s">
        <v>1589</v>
      </c>
      <c r="AV26" s="141" t="s">
        <v>1590</v>
      </c>
      <c r="AW26" s="141" t="s">
        <v>1589</v>
      </c>
      <c r="AX26" s="141" t="s">
        <v>1590</v>
      </c>
      <c r="AZ26" s="141" t="s">
        <v>1589</v>
      </c>
      <c r="BA26" s="141" t="s">
        <v>1590</v>
      </c>
    </row>
    <row r="27" spans="2:54">
      <c r="Z27" s="778"/>
      <c r="AA27" s="778"/>
      <c r="AB27" s="778"/>
      <c r="AC27" s="778"/>
      <c r="AD27" s="778"/>
      <c r="AE27" s="533"/>
      <c r="AF27" s="778"/>
      <c r="AG27" s="778"/>
      <c r="AH27" s="778"/>
      <c r="AI27" s="778"/>
      <c r="AJ27" s="778"/>
      <c r="AK27" s="534"/>
      <c r="AL27" s="778"/>
      <c r="AM27" s="778"/>
      <c r="AN27" s="778"/>
      <c r="AO27" s="778"/>
      <c r="AP27" s="778"/>
      <c r="AQ27" s="532"/>
      <c r="AR27" s="532"/>
      <c r="AS27" s="532"/>
    </row>
    <row r="28" spans="2:54">
      <c r="J28" s="774" t="s">
        <v>46</v>
      </c>
      <c r="K28" s="774"/>
      <c r="L28" s="774"/>
      <c r="M28" s="774"/>
      <c r="N28" s="774"/>
      <c r="O28" s="774"/>
      <c r="P28" s="774"/>
      <c r="Q28" s="774"/>
      <c r="R28" s="774"/>
      <c r="S28" s="774"/>
      <c r="T28" s="774"/>
      <c r="U28" s="774"/>
      <c r="V28" s="774"/>
      <c r="W28" s="774"/>
      <c r="Z28" s="775">
        <f>AS28*$Z$24</f>
        <v>37.979999999999997</v>
      </c>
      <c r="AA28" s="775"/>
      <c r="AB28" s="775"/>
      <c r="AC28" s="775"/>
      <c r="AD28" s="775"/>
      <c r="AE28" s="535"/>
      <c r="AF28" s="775">
        <f>AL28-Z28</f>
        <v>14.219999999999999</v>
      </c>
      <c r="AG28" s="775"/>
      <c r="AH28" s="775"/>
      <c r="AI28" s="775"/>
      <c r="AJ28" s="775"/>
      <c r="AL28" s="775">
        <f>AT28*$AL$24</f>
        <v>52.199999999999996</v>
      </c>
      <c r="AM28" s="775"/>
      <c r="AN28" s="775"/>
      <c r="AO28" s="775"/>
      <c r="AP28" s="775"/>
      <c r="AQ28" s="535"/>
      <c r="AR28" s="535">
        <f>AU28-AV28</f>
        <v>0</v>
      </c>
      <c r="AS28" s="535">
        <f>AW28-AX28</f>
        <v>211</v>
      </c>
      <c r="AT28" s="546">
        <f>(AZ28-BA28)</f>
        <v>290</v>
      </c>
      <c r="AU28" s="546">
        <v>0</v>
      </c>
      <c r="AV28" s="546">
        <v>0</v>
      </c>
      <c r="AW28" s="550">
        <v>3415</v>
      </c>
      <c r="AX28" s="546">
        <v>3204</v>
      </c>
      <c r="AY28" s="546"/>
      <c r="AZ28" s="551">
        <v>2366</v>
      </c>
      <c r="BA28" s="546">
        <v>2076</v>
      </c>
      <c r="BB28" s="552" t="str">
        <f>J28</f>
        <v>Основні засоби</v>
      </c>
    </row>
    <row r="29" spans="2:54">
      <c r="J29" s="774" t="s">
        <v>1408</v>
      </c>
      <c r="K29" s="774"/>
      <c r="L29" s="774"/>
      <c r="M29" s="774"/>
      <c r="N29" s="774"/>
      <c r="O29" s="774"/>
      <c r="P29" s="774"/>
      <c r="Q29" s="774"/>
      <c r="R29" s="774"/>
      <c r="S29" s="774"/>
      <c r="T29" s="774"/>
      <c r="U29" s="774"/>
      <c r="V29" s="774"/>
      <c r="W29" s="774"/>
      <c r="Z29" s="775">
        <f>AS29*$Z$24</f>
        <v>0</v>
      </c>
      <c r="AA29" s="775"/>
      <c r="AB29" s="775"/>
      <c r="AC29" s="775"/>
      <c r="AD29" s="775"/>
      <c r="AE29" s="535"/>
      <c r="AF29" s="775">
        <f>AL29-Z29</f>
        <v>0</v>
      </c>
      <c r="AG29" s="775"/>
      <c r="AH29" s="775"/>
      <c r="AI29" s="775"/>
      <c r="AJ29" s="775"/>
      <c r="AL29" s="775">
        <f>AT29*$AL$24</f>
        <v>0</v>
      </c>
      <c r="AM29" s="775"/>
      <c r="AN29" s="775"/>
      <c r="AO29" s="775"/>
      <c r="AP29" s="775"/>
      <c r="AQ29" s="535"/>
      <c r="AR29" s="535"/>
      <c r="AS29" s="535">
        <f>AW29-AX29</f>
        <v>0</v>
      </c>
      <c r="AT29" s="546">
        <f>AZ29-BA29</f>
        <v>0</v>
      </c>
      <c r="AU29" s="546"/>
      <c r="AV29" s="546"/>
      <c r="AW29" s="550"/>
      <c r="AX29" s="546"/>
      <c r="AY29" s="546"/>
      <c r="AZ29" s="550">
        <v>0</v>
      </c>
      <c r="BA29" s="546">
        <f>BC12/1000</f>
        <v>0</v>
      </c>
      <c r="BB29" s="552" t="str">
        <f t="shared" ref="BB29:BB34" si="2">J29</f>
        <v xml:space="preserve">Актив з права використання </v>
      </c>
    </row>
    <row r="30" spans="2:54">
      <c r="J30" s="774" t="s">
        <v>80</v>
      </c>
      <c r="K30" s="774"/>
      <c r="L30" s="774"/>
      <c r="M30" s="774"/>
      <c r="N30" s="774"/>
      <c r="O30" s="774"/>
      <c r="P30" s="774"/>
      <c r="Q30" s="774"/>
      <c r="R30" s="774"/>
      <c r="S30" s="774"/>
      <c r="T30" s="774"/>
      <c r="U30" s="774"/>
      <c r="V30" s="774"/>
      <c r="W30" s="774"/>
      <c r="Z30" s="775"/>
      <c r="AA30" s="775"/>
      <c r="AB30" s="775"/>
      <c r="AC30" s="775"/>
      <c r="AD30" s="775"/>
      <c r="AE30" s="535"/>
      <c r="AF30" s="775">
        <f>AL30-Z30</f>
        <v>16.38</v>
      </c>
      <c r="AG30" s="775"/>
      <c r="AH30" s="775"/>
      <c r="AI30" s="775"/>
      <c r="AJ30" s="775"/>
      <c r="AL30" s="775">
        <f>-AT30*AL24</f>
        <v>16.38</v>
      </c>
      <c r="AM30" s="775"/>
      <c r="AN30" s="775"/>
      <c r="AO30" s="775"/>
      <c r="AP30" s="775"/>
      <c r="AQ30" s="535"/>
      <c r="AR30" s="535"/>
      <c r="AS30" s="535"/>
      <c r="AT30" s="546">
        <f>AZ30-BA30</f>
        <v>-91</v>
      </c>
      <c r="AU30" s="546"/>
      <c r="AV30" s="546"/>
      <c r="AW30" s="550"/>
      <c r="AX30" s="546"/>
      <c r="AY30" s="546"/>
      <c r="AZ30" s="550">
        <v>0</v>
      </c>
      <c r="BA30" s="546">
        <v>91</v>
      </c>
      <c r="BB30" s="141" t="str">
        <f t="shared" si="2"/>
        <v>Поточна частина довгострокових зобов'язань</v>
      </c>
    </row>
    <row r="31" spans="2:54">
      <c r="J31" s="774" t="s">
        <v>1409</v>
      </c>
      <c r="K31" s="774"/>
      <c r="L31" s="774"/>
      <c r="M31" s="774"/>
      <c r="N31" s="774"/>
      <c r="O31" s="774"/>
      <c r="P31" s="774"/>
      <c r="Q31" s="774"/>
      <c r="R31" s="774"/>
      <c r="S31" s="774"/>
      <c r="T31" s="774"/>
      <c r="U31" s="774"/>
      <c r="V31" s="774"/>
      <c r="W31" s="774"/>
      <c r="Z31" s="775">
        <f>AS31*Z24</f>
        <v>0</v>
      </c>
      <c r="AA31" s="775"/>
      <c r="AB31" s="775"/>
      <c r="AC31" s="775"/>
      <c r="AD31" s="775"/>
      <c r="AE31" s="535"/>
      <c r="AF31" s="775">
        <f>AL31-Z31</f>
        <v>16.38</v>
      </c>
      <c r="AG31" s="775"/>
      <c r="AH31" s="775"/>
      <c r="AI31" s="775"/>
      <c r="AJ31" s="775"/>
      <c r="AL31" s="775">
        <f>-AT31*AL24</f>
        <v>16.38</v>
      </c>
      <c r="AM31" s="775"/>
      <c r="AN31" s="775"/>
      <c r="AO31" s="775"/>
      <c r="AP31" s="775"/>
      <c r="AQ31" s="535"/>
      <c r="AR31" s="535"/>
      <c r="AS31" s="535">
        <f>AW31-AX31</f>
        <v>0</v>
      </c>
      <c r="AT31" s="546">
        <f>AZ31-BA31</f>
        <v>-91</v>
      </c>
      <c r="AU31" s="546"/>
      <c r="AV31" s="546"/>
      <c r="AW31" s="550"/>
      <c r="AX31" s="551"/>
      <c r="AY31" s="551"/>
      <c r="AZ31" s="551">
        <v>0</v>
      </c>
      <c r="BA31" s="553">
        <v>91</v>
      </c>
      <c r="BB31" s="552" t="str">
        <f t="shared" si="2"/>
        <v>Довгострокові орендні зобов'язання</v>
      </c>
    </row>
    <row r="32" spans="2:54">
      <c r="J32" s="774" t="s">
        <v>1591</v>
      </c>
      <c r="K32" s="774"/>
      <c r="L32" s="774"/>
      <c r="M32" s="774"/>
      <c r="N32" s="774"/>
      <c r="O32" s="774"/>
      <c r="P32" s="774"/>
      <c r="Q32" s="774"/>
      <c r="R32" s="774"/>
      <c r="S32" s="774"/>
      <c r="T32" s="774"/>
      <c r="U32" s="774"/>
      <c r="V32" s="774"/>
      <c r="W32" s="774"/>
      <c r="Z32" s="775"/>
      <c r="AA32" s="775"/>
      <c r="AB32" s="775"/>
      <c r="AC32" s="775"/>
      <c r="AD32" s="775"/>
      <c r="AE32" s="535"/>
      <c r="AF32" s="775"/>
      <c r="AG32" s="775"/>
      <c r="AH32" s="775"/>
      <c r="AI32" s="775"/>
      <c r="AJ32" s="775"/>
      <c r="AL32" s="775"/>
      <c r="AM32" s="775"/>
      <c r="AN32" s="775"/>
      <c r="AO32" s="775"/>
      <c r="AP32" s="775"/>
      <c r="AQ32" s="535"/>
      <c r="AR32" s="535"/>
      <c r="AS32" s="535">
        <f>AW32-AX32</f>
        <v>0</v>
      </c>
      <c r="AT32" s="546">
        <f>AZ32-BA32</f>
        <v>0</v>
      </c>
      <c r="AU32" s="546"/>
      <c r="AV32" s="546"/>
      <c r="AW32" s="550"/>
      <c r="AX32" s="546"/>
      <c r="AY32" s="546"/>
      <c r="AZ32" s="550"/>
      <c r="BA32" s="546"/>
      <c r="BB32" s="552" t="str">
        <f t="shared" si="2"/>
        <v>Кредити та запозичення</v>
      </c>
    </row>
    <row r="33" spans="2:54">
      <c r="J33" s="774" t="s">
        <v>1592</v>
      </c>
      <c r="K33" s="774"/>
      <c r="L33" s="774"/>
      <c r="M33" s="774"/>
      <c r="N33" s="774"/>
      <c r="O33" s="774"/>
      <c r="P33" s="774"/>
      <c r="Q33" s="774"/>
      <c r="R33" s="774"/>
      <c r="S33" s="774"/>
      <c r="T33" s="774"/>
      <c r="U33" s="774"/>
      <c r="V33" s="774"/>
      <c r="W33" s="774"/>
      <c r="Z33" s="775"/>
      <c r="AA33" s="775"/>
      <c r="AB33" s="775"/>
      <c r="AC33" s="775"/>
      <c r="AD33" s="775"/>
      <c r="AE33" s="535"/>
      <c r="AF33" s="775"/>
      <c r="AG33" s="775"/>
      <c r="AH33" s="775"/>
      <c r="AI33" s="775"/>
      <c r="AJ33" s="775"/>
      <c r="AL33" s="775"/>
      <c r="AM33" s="775"/>
      <c r="AN33" s="775"/>
      <c r="AO33" s="775"/>
      <c r="AP33" s="775"/>
      <c r="AQ33" s="535"/>
      <c r="AR33" s="535"/>
      <c r="AS33" s="535"/>
      <c r="AT33" s="546"/>
      <c r="AU33" s="546"/>
      <c r="AV33" s="546"/>
      <c r="AW33" s="550"/>
      <c r="AX33" s="546"/>
      <c r="AY33" s="546"/>
      <c r="AZ33" s="550"/>
      <c r="BA33" s="546"/>
      <c r="BB33" s="141" t="str">
        <f t="shared" si="2"/>
        <v xml:space="preserve">Торгова та інша дебіторська </v>
      </c>
    </row>
    <row r="34" spans="2:54">
      <c r="J34" s="774" t="s">
        <v>1593</v>
      </c>
      <c r="K34" s="774"/>
      <c r="L34" s="774"/>
      <c r="M34" s="774"/>
      <c r="N34" s="774"/>
      <c r="O34" s="774"/>
      <c r="P34" s="774"/>
      <c r="Q34" s="774"/>
      <c r="R34" s="774"/>
      <c r="S34" s="774"/>
      <c r="T34" s="774"/>
      <c r="U34" s="774"/>
      <c r="V34" s="774"/>
      <c r="W34" s="774"/>
      <c r="Z34" s="775"/>
      <c r="AA34" s="775"/>
      <c r="AB34" s="775"/>
      <c r="AC34" s="775"/>
      <c r="AD34" s="775"/>
      <c r="AE34" s="535"/>
      <c r="AF34" s="775"/>
      <c r="AG34" s="775"/>
      <c r="AH34" s="775"/>
      <c r="AI34" s="775"/>
      <c r="AJ34" s="775"/>
      <c r="AL34" s="775"/>
      <c r="AM34" s="775"/>
      <c r="AN34" s="775"/>
      <c r="AO34" s="775"/>
      <c r="AP34" s="775"/>
      <c r="AQ34" s="535"/>
      <c r="AR34" s="535"/>
      <c r="AS34" s="535">
        <f>-(AW34-AX34)</f>
        <v>0</v>
      </c>
      <c r="AT34" s="546">
        <f>-(AZ34-BA34)</f>
        <v>0</v>
      </c>
      <c r="AU34" s="546"/>
      <c r="AV34" s="546"/>
      <c r="AW34" s="550"/>
      <c r="AX34" s="546"/>
      <c r="AY34" s="546"/>
      <c r="AZ34" s="550"/>
      <c r="BA34" s="546"/>
      <c r="BB34" s="552" t="str">
        <f t="shared" si="2"/>
        <v>заборгованість</v>
      </c>
    </row>
    <row r="35" spans="2:54">
      <c r="J35" s="779" t="s">
        <v>1594</v>
      </c>
      <c r="K35" s="779"/>
      <c r="L35" s="779"/>
      <c r="M35" s="779"/>
      <c r="N35" s="779"/>
      <c r="O35" s="779"/>
      <c r="P35" s="779"/>
      <c r="Q35" s="779"/>
      <c r="R35" s="779"/>
      <c r="S35" s="779"/>
      <c r="T35" s="779"/>
      <c r="U35" s="779"/>
      <c r="V35" s="779"/>
      <c r="W35" s="779"/>
      <c r="Z35" s="785"/>
      <c r="AA35" s="785"/>
      <c r="AB35" s="785"/>
      <c r="AC35" s="785"/>
      <c r="AD35" s="785"/>
      <c r="AE35" s="535"/>
      <c r="AF35" s="786"/>
      <c r="AG35" s="786"/>
      <c r="AH35" s="786"/>
      <c r="AI35" s="786"/>
      <c r="AJ35" s="786"/>
      <c r="AL35" s="785"/>
      <c r="AM35" s="785"/>
      <c r="AN35" s="785"/>
      <c r="AO35" s="785"/>
      <c r="AP35" s="785"/>
      <c r="AQ35" s="535"/>
      <c r="AR35" s="535"/>
      <c r="AS35" s="535"/>
      <c r="AT35" s="546"/>
      <c r="AU35" s="546"/>
      <c r="AV35" s="546"/>
      <c r="AW35" s="546"/>
      <c r="AX35" s="546"/>
      <c r="AY35" s="546"/>
    </row>
    <row r="36" spans="2:54">
      <c r="J36" s="779" t="s">
        <v>1595</v>
      </c>
      <c r="K36" s="779"/>
      <c r="L36" s="779"/>
      <c r="M36" s="779"/>
      <c r="N36" s="779"/>
      <c r="O36" s="779"/>
      <c r="P36" s="779"/>
      <c r="Q36" s="779"/>
      <c r="R36" s="779"/>
      <c r="S36" s="779"/>
      <c r="T36" s="779"/>
      <c r="U36" s="779"/>
      <c r="V36" s="779"/>
      <c r="W36" s="779"/>
      <c r="Z36" s="780">
        <f>SUM(Z28:AD34)</f>
        <v>37.979999999999997</v>
      </c>
      <c r="AA36" s="780"/>
      <c r="AB36" s="780"/>
      <c r="AC36" s="780"/>
      <c r="AD36" s="780"/>
      <c r="AE36" s="389"/>
      <c r="AF36" s="780">
        <f>AF28+AF29+AF31+AF30</f>
        <v>46.98</v>
      </c>
      <c r="AG36" s="780"/>
      <c r="AH36" s="780"/>
      <c r="AI36" s="780"/>
      <c r="AJ36" s="780"/>
      <c r="AK36" s="155"/>
      <c r="AL36" s="780">
        <f>SUM(AL28:AP34)</f>
        <v>84.96</v>
      </c>
      <c r="AM36" s="780"/>
      <c r="AN36" s="780"/>
      <c r="AO36" s="780"/>
      <c r="AP36" s="780"/>
      <c r="AQ36" s="389"/>
      <c r="AR36" s="389"/>
      <c r="AS36" s="389"/>
      <c r="AT36" s="546"/>
      <c r="AU36" s="546"/>
      <c r="AV36" s="546"/>
      <c r="AW36" s="546"/>
      <c r="AX36" s="546"/>
      <c r="AY36" s="546"/>
      <c r="AZ36" s="546"/>
      <c r="BA36" s="546"/>
    </row>
    <row r="37" spans="2:54" ht="15">
      <c r="AF37" s="781"/>
      <c r="AG37" s="782"/>
      <c r="AH37" s="782"/>
      <c r="AI37" s="782"/>
      <c r="AJ37" s="782"/>
      <c r="AL37" s="783"/>
      <c r="AM37" s="784"/>
      <c r="AN37" s="784"/>
      <c r="AO37" s="784"/>
      <c r="AP37" s="784"/>
      <c r="AQ37" s="784"/>
      <c r="AR37"/>
      <c r="BA37" s="549"/>
    </row>
    <row r="38" spans="2:54">
      <c r="BA38" s="549"/>
    </row>
    <row r="39" spans="2:54">
      <c r="AT39" s="141">
        <f>AL36/0.18</f>
        <v>472</v>
      </c>
    </row>
    <row r="40" spans="2:54">
      <c r="AT40" s="141">
        <f>AT39*0.18</f>
        <v>84.96</v>
      </c>
    </row>
    <row r="41" spans="2:54">
      <c r="AT41" s="554">
        <f>AT40-AL36</f>
        <v>0</v>
      </c>
      <c r="AU41" s="554"/>
      <c r="AV41" s="554"/>
    </row>
    <row r="42" spans="2:54">
      <c r="B42" s="787" t="e">
        <f>(MID(B1,1,2)+1)&amp;"."</f>
        <v>#VALUE!</v>
      </c>
      <c r="C42" s="787"/>
      <c r="D42" s="779" t="s">
        <v>336</v>
      </c>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row>
    <row r="43" spans="2:54">
      <c r="AT43" s="549">
        <f>AT28*Z24</f>
        <v>52.199999999999996</v>
      </c>
      <c r="AU43" s="549"/>
      <c r="AV43" s="549"/>
      <c r="AW43" s="549">
        <f>AS28*AL24</f>
        <v>37.979999999999997</v>
      </c>
    </row>
    <row r="44" spans="2:54">
      <c r="B44" s="788" t="s">
        <v>1620</v>
      </c>
      <c r="C44" s="789"/>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row>
    <row r="46" spans="2:54">
      <c r="B46" s="788"/>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T46" s="555">
        <v>2018</v>
      </c>
    </row>
    <row r="47" spans="2:54">
      <c r="B47" s="788"/>
      <c r="C47" s="789"/>
      <c r="D47" s="789"/>
      <c r="E47" s="789"/>
      <c r="F47" s="789"/>
      <c r="G47" s="789"/>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row>
    <row r="48" spans="2:54">
      <c r="B48" s="788"/>
      <c r="C48" s="789"/>
      <c r="D48" s="78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89"/>
      <c r="AS48" s="141" t="s">
        <v>1621</v>
      </c>
      <c r="AT48" s="141">
        <f>AT50-AT49</f>
        <v>291</v>
      </c>
    </row>
    <row r="49" spans="2:49">
      <c r="B49" s="788"/>
      <c r="C49" s="789"/>
      <c r="D49" s="789"/>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S49" s="141" t="s">
        <v>1622</v>
      </c>
      <c r="AT49" s="141">
        <v>38</v>
      </c>
    </row>
    <row r="50" spans="2:49">
      <c r="AS50" s="141" t="s">
        <v>1623</v>
      </c>
      <c r="AT50" s="141">
        <v>329</v>
      </c>
    </row>
    <row r="51" spans="2:49">
      <c r="B51" s="774" t="s">
        <v>1624</v>
      </c>
      <c r="C51" s="774"/>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T51" s="555">
        <v>2019</v>
      </c>
    </row>
    <row r="52" spans="2:49">
      <c r="AS52" s="141" t="s">
        <v>1621</v>
      </c>
      <c r="AT52" s="141">
        <f>AT54-AT53</f>
        <v>543</v>
      </c>
      <c r="AW52" s="141">
        <v>74000</v>
      </c>
    </row>
    <row r="53" spans="2:49">
      <c r="B53" s="774"/>
      <c r="C53" s="774"/>
      <c r="D53" s="774"/>
      <c r="E53" s="774"/>
      <c r="F53" s="774"/>
      <c r="G53" s="774"/>
      <c r="H53" s="774"/>
      <c r="I53" s="774"/>
      <c r="J53" s="774"/>
      <c r="K53" s="774"/>
      <c r="L53" s="774"/>
      <c r="M53" s="774"/>
      <c r="N53" s="774"/>
      <c r="O53" s="774"/>
      <c r="P53" s="774"/>
      <c r="Q53" s="774"/>
      <c r="R53" s="774"/>
      <c r="S53" s="774"/>
      <c r="T53" s="774"/>
      <c r="U53" s="774"/>
      <c r="V53" s="774"/>
      <c r="W53" s="774"/>
      <c r="AD53" s="778">
        <v>2019</v>
      </c>
      <c r="AE53" s="778"/>
      <c r="AF53" s="778"/>
      <c r="AG53" s="778"/>
      <c r="AH53" s="778"/>
      <c r="AS53" s="141" t="s">
        <v>1622</v>
      </c>
      <c r="AT53" s="141">
        <v>14</v>
      </c>
      <c r="AU53" s="141">
        <f>BA20</f>
        <v>14394.279999999999</v>
      </c>
    </row>
    <row r="54" spans="2:49">
      <c r="B54" s="774" t="s">
        <v>1625</v>
      </c>
      <c r="C54" s="774"/>
      <c r="D54" s="774"/>
      <c r="E54" s="774"/>
      <c r="F54" s="774"/>
      <c r="G54" s="774"/>
      <c r="H54" s="774"/>
      <c r="I54" s="774"/>
      <c r="J54" s="774"/>
      <c r="K54" s="774"/>
      <c r="L54" s="774"/>
      <c r="M54" s="774"/>
      <c r="N54" s="774"/>
      <c r="O54" s="774"/>
      <c r="P54" s="774"/>
      <c r="Q54" s="774"/>
      <c r="R54" s="774"/>
      <c r="S54" s="774"/>
      <c r="T54" s="774"/>
      <c r="U54" s="774"/>
      <c r="V54" s="774"/>
      <c r="W54" s="774"/>
      <c r="AD54" s="775">
        <v>543</v>
      </c>
      <c r="AE54" s="775"/>
      <c r="AF54" s="775"/>
      <c r="AG54" s="775"/>
      <c r="AH54" s="775"/>
      <c r="AS54" s="141" t="s">
        <v>1623</v>
      </c>
      <c r="AT54" s="141">
        <v>557</v>
      </c>
    </row>
    <row r="55" spans="2:49">
      <c r="B55" s="774" t="s">
        <v>1626</v>
      </c>
      <c r="C55" s="774"/>
      <c r="D55" s="774"/>
      <c r="E55" s="774"/>
      <c r="F55" s="774"/>
      <c r="G55" s="774"/>
      <c r="H55" s="774"/>
      <c r="I55" s="774"/>
      <c r="J55" s="774"/>
      <c r="K55" s="774"/>
      <c r="L55" s="774"/>
      <c r="M55" s="774"/>
      <c r="N55" s="774"/>
      <c r="O55" s="774"/>
      <c r="P55" s="774"/>
      <c r="Q55" s="774"/>
      <c r="R55" s="774"/>
      <c r="S55" s="774"/>
      <c r="T55" s="774"/>
      <c r="U55" s="774"/>
      <c r="V55" s="774"/>
      <c r="W55" s="774"/>
      <c r="AD55" s="775">
        <v>14</v>
      </c>
      <c r="AE55" s="775"/>
      <c r="AF55" s="775"/>
      <c r="AG55" s="775"/>
      <c r="AH55" s="775"/>
      <c r="AT55" s="554"/>
      <c r="AU55" s="554"/>
      <c r="AV55" s="554"/>
    </row>
    <row r="56" spans="2:49" ht="13.5" thickBot="1">
      <c r="B56" s="774"/>
      <c r="C56" s="774"/>
      <c r="D56" s="774"/>
      <c r="E56" s="774"/>
      <c r="F56" s="774"/>
      <c r="G56" s="774"/>
      <c r="H56" s="774"/>
      <c r="I56" s="774"/>
      <c r="J56" s="774"/>
      <c r="K56" s="774"/>
      <c r="L56" s="774"/>
      <c r="M56" s="774"/>
      <c r="N56" s="774"/>
      <c r="O56" s="774"/>
      <c r="P56" s="774"/>
      <c r="Q56" s="774"/>
      <c r="R56" s="774"/>
      <c r="S56" s="774"/>
      <c r="T56" s="774"/>
      <c r="U56" s="774"/>
      <c r="V56" s="774"/>
      <c r="W56" s="774"/>
      <c r="AD56" s="675">
        <f>SUM(AD54:AD55)</f>
        <v>557</v>
      </c>
      <c r="AE56" s="675"/>
      <c r="AF56" s="675"/>
      <c r="AG56" s="675"/>
      <c r="AH56" s="675"/>
      <c r="AT56" s="554"/>
      <c r="AU56" s="554"/>
      <c r="AV56" s="554"/>
    </row>
    <row r="57" spans="2:49" ht="13.5" thickTop="1">
      <c r="AD57" s="556"/>
      <c r="AE57" s="556"/>
      <c r="AF57" s="556"/>
      <c r="AG57" s="556"/>
      <c r="AH57" s="556"/>
      <c r="AT57" s="554"/>
      <c r="AU57" s="554"/>
      <c r="AV57" s="554"/>
    </row>
    <row r="58" spans="2:49">
      <c r="B58" s="789" t="s">
        <v>1627</v>
      </c>
      <c r="C58" s="789"/>
      <c r="D58" s="789"/>
      <c r="E58" s="789"/>
      <c r="F58" s="789"/>
      <c r="G58" s="789"/>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R58" s="141">
        <v>2018</v>
      </c>
      <c r="AS58" s="557" t="s">
        <v>1628</v>
      </c>
      <c r="AT58" s="557">
        <v>38</v>
      </c>
    </row>
    <row r="59" spans="2:49">
      <c r="B59" s="789"/>
      <c r="C59" s="789"/>
      <c r="D59" s="789"/>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row>
    <row r="61" spans="2:49">
      <c r="AD61" s="778">
        <f>AD53</f>
        <v>2019</v>
      </c>
      <c r="AE61" s="778"/>
      <c r="AF61" s="778"/>
      <c r="AG61" s="778"/>
      <c r="AH61" s="778"/>
    </row>
    <row r="62" spans="2:49">
      <c r="B62" s="774" t="s">
        <v>1629</v>
      </c>
      <c r="C62" s="774"/>
      <c r="D62" s="774"/>
      <c r="E62" s="774"/>
      <c r="F62" s="774"/>
      <c r="G62" s="774"/>
      <c r="H62" s="774"/>
      <c r="I62" s="774"/>
      <c r="J62" s="774"/>
      <c r="K62" s="774"/>
      <c r="L62" s="774"/>
      <c r="M62" s="774"/>
      <c r="N62" s="774"/>
      <c r="O62" s="774"/>
      <c r="P62" s="774"/>
      <c r="Q62" s="774"/>
      <c r="R62" s="774"/>
      <c r="S62" s="774"/>
      <c r="T62" s="774"/>
      <c r="U62" s="774"/>
      <c r="V62" s="774"/>
      <c r="W62" s="774"/>
      <c r="AD62" s="790">
        <v>2782</v>
      </c>
      <c r="AE62" s="790"/>
      <c r="AF62" s="790"/>
      <c r="AG62" s="790"/>
      <c r="AH62" s="790"/>
    </row>
    <row r="63" spans="2:49">
      <c r="AD63" s="558"/>
      <c r="AE63" s="558"/>
      <c r="AF63" s="558"/>
      <c r="AG63" s="558"/>
      <c r="AH63" s="558"/>
    </row>
    <row r="64" spans="2:49">
      <c r="B64" s="774" t="s">
        <v>1630</v>
      </c>
      <c r="C64" s="774"/>
      <c r="D64" s="774"/>
      <c r="E64" s="774"/>
      <c r="F64" s="774"/>
      <c r="G64" s="774"/>
      <c r="H64" s="774"/>
      <c r="I64" s="774"/>
      <c r="J64" s="774"/>
      <c r="K64" s="774"/>
      <c r="L64" s="774"/>
      <c r="M64" s="774"/>
      <c r="N64" s="774"/>
      <c r="O64" s="774"/>
      <c r="P64" s="774"/>
      <c r="Q64" s="774"/>
      <c r="R64" s="774"/>
      <c r="S64" s="774"/>
      <c r="T64" s="774"/>
      <c r="U64" s="774"/>
      <c r="V64" s="774"/>
      <c r="W64" s="774"/>
      <c r="AD64" s="775">
        <f>AD62*0.18</f>
        <v>500.76</v>
      </c>
      <c r="AE64" s="775"/>
      <c r="AF64" s="775"/>
      <c r="AG64" s="775"/>
      <c r="AH64" s="775"/>
    </row>
    <row r="65" spans="2:34">
      <c r="B65" s="774" t="s">
        <v>1631</v>
      </c>
      <c r="C65" s="774"/>
      <c r="D65" s="774"/>
      <c r="E65" s="774"/>
      <c r="F65" s="774"/>
      <c r="G65" s="774"/>
      <c r="H65" s="774"/>
      <c r="I65" s="774"/>
      <c r="J65" s="774"/>
      <c r="K65" s="774"/>
      <c r="L65" s="774"/>
      <c r="M65" s="774"/>
      <c r="N65" s="774"/>
      <c r="O65" s="774"/>
      <c r="P65" s="774"/>
      <c r="Q65" s="774"/>
      <c r="R65" s="774"/>
      <c r="S65" s="774"/>
      <c r="T65" s="774"/>
      <c r="U65" s="774"/>
      <c r="V65" s="774"/>
      <c r="W65" s="774"/>
      <c r="AD65" s="775"/>
      <c r="AE65" s="775"/>
      <c r="AF65" s="775"/>
      <c r="AG65" s="775"/>
      <c r="AH65" s="775"/>
    </row>
    <row r="66" spans="2:34">
      <c r="B66" s="774" t="s">
        <v>1632</v>
      </c>
      <c r="C66" s="774"/>
      <c r="D66" s="774"/>
      <c r="E66" s="774"/>
      <c r="F66" s="774"/>
      <c r="G66" s="774"/>
      <c r="H66" s="774"/>
      <c r="I66" s="774"/>
      <c r="J66" s="774"/>
      <c r="K66" s="774"/>
      <c r="L66" s="774"/>
      <c r="M66" s="774"/>
      <c r="N66" s="774"/>
      <c r="O66" s="774"/>
      <c r="P66" s="774"/>
      <c r="Q66" s="774"/>
      <c r="R66" s="774"/>
      <c r="S66" s="774"/>
      <c r="T66" s="774"/>
      <c r="U66" s="774"/>
      <c r="V66" s="774"/>
      <c r="W66" s="774"/>
      <c r="AD66" s="793">
        <f>AD67-AD64</f>
        <v>56.240000000000009</v>
      </c>
      <c r="AE66" s="793"/>
      <c r="AF66" s="793"/>
      <c r="AG66" s="793"/>
      <c r="AH66" s="793"/>
    </row>
    <row r="67" spans="2:34" ht="13.5" thickBot="1">
      <c r="B67" s="791" t="s">
        <v>1633</v>
      </c>
      <c r="C67" s="791"/>
      <c r="D67" s="791"/>
      <c r="E67" s="791"/>
      <c r="F67" s="791"/>
      <c r="G67" s="791"/>
      <c r="H67" s="791"/>
      <c r="I67" s="791"/>
      <c r="J67" s="791"/>
      <c r="K67" s="791"/>
      <c r="L67" s="791"/>
      <c r="M67" s="791"/>
      <c r="N67" s="791"/>
      <c r="O67" s="791"/>
      <c r="P67" s="791"/>
      <c r="Q67" s="791"/>
      <c r="R67" s="791"/>
      <c r="S67" s="791"/>
      <c r="T67" s="791"/>
      <c r="U67" s="791"/>
      <c r="V67" s="791"/>
      <c r="W67" s="791"/>
      <c r="AC67" s="155"/>
      <c r="AD67" s="792">
        <f>557</f>
        <v>557</v>
      </c>
      <c r="AE67" s="792"/>
      <c r="AF67" s="792"/>
      <c r="AG67" s="792"/>
      <c r="AH67" s="792"/>
    </row>
    <row r="68" spans="2:34" ht="13.5" thickTop="1">
      <c r="AD68" s="559"/>
      <c r="AE68" s="559"/>
      <c r="AF68" s="559"/>
      <c r="AG68" s="559"/>
      <c r="AH68" s="142"/>
    </row>
    <row r="69" spans="2:34">
      <c r="B69" s="787" t="e">
        <f>(MID(B42,1,2)+1)&amp;"."</f>
        <v>#VALUE!</v>
      </c>
      <c r="C69" s="787"/>
      <c r="D69" s="779" t="s">
        <v>1634</v>
      </c>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c r="AH69" s="779"/>
    </row>
    <row r="72" spans="2:34">
      <c r="B72" s="560"/>
      <c r="C72" s="560"/>
      <c r="D72" s="560"/>
      <c r="E72" s="560"/>
      <c r="F72" s="560"/>
      <c r="G72" s="560"/>
      <c r="H72" s="560"/>
      <c r="I72" s="560"/>
      <c r="J72" s="560"/>
      <c r="K72" s="560"/>
      <c r="L72" s="560"/>
      <c r="M72" s="560"/>
      <c r="N72" s="560"/>
      <c r="O72" s="560"/>
      <c r="P72" s="560"/>
      <c r="Q72" s="560"/>
      <c r="R72" s="560"/>
      <c r="S72" s="560"/>
      <c r="T72" s="560"/>
      <c r="U72" s="560"/>
      <c r="V72" s="560"/>
      <c r="W72" s="560"/>
      <c r="X72" s="560"/>
      <c r="Y72" s="560"/>
      <c r="Z72" s="560"/>
      <c r="AA72" s="560"/>
      <c r="AB72" s="560"/>
      <c r="AC72" s="560"/>
      <c r="AD72" s="560"/>
      <c r="AE72" s="560"/>
      <c r="AF72" s="560"/>
      <c r="AG72" s="560"/>
      <c r="AH72" s="560"/>
    </row>
  </sheetData>
  <mergeCells count="133">
    <mergeCell ref="B67:W67"/>
    <mergeCell ref="AD67:AH67"/>
    <mergeCell ref="B69:C69"/>
    <mergeCell ref="D69:AH69"/>
    <mergeCell ref="B64:W64"/>
    <mergeCell ref="AD64:AH64"/>
    <mergeCell ref="B65:W65"/>
    <mergeCell ref="AD65:AH65"/>
    <mergeCell ref="B66:W66"/>
    <mergeCell ref="AD66:AH66"/>
    <mergeCell ref="B56:W56"/>
    <mergeCell ref="AD56:AH56"/>
    <mergeCell ref="B58:AH59"/>
    <mergeCell ref="AD61:AH61"/>
    <mergeCell ref="B62:W62"/>
    <mergeCell ref="AD62:AH62"/>
    <mergeCell ref="B51:AH51"/>
    <mergeCell ref="B53:W53"/>
    <mergeCell ref="AD53:AH53"/>
    <mergeCell ref="B54:W54"/>
    <mergeCell ref="AD54:AH54"/>
    <mergeCell ref="B55:W55"/>
    <mergeCell ref="AD55:AH55"/>
    <mergeCell ref="AF37:AJ37"/>
    <mergeCell ref="AL37:AQ37"/>
    <mergeCell ref="B42:C42"/>
    <mergeCell ref="D42:AH42"/>
    <mergeCell ref="B44:AH44"/>
    <mergeCell ref="B46:AH49"/>
    <mergeCell ref="J35:W35"/>
    <mergeCell ref="Z35:AD35"/>
    <mergeCell ref="AF35:AJ35"/>
    <mergeCell ref="AL35:AP35"/>
    <mergeCell ref="J36:W36"/>
    <mergeCell ref="Z36:AD36"/>
    <mergeCell ref="AF36:AJ36"/>
    <mergeCell ref="AL36:AP36"/>
    <mergeCell ref="J33:W33"/>
    <mergeCell ref="Z33:AD33"/>
    <mergeCell ref="AF33:AJ33"/>
    <mergeCell ref="AL33:AP33"/>
    <mergeCell ref="J34:W34"/>
    <mergeCell ref="Z34:AD34"/>
    <mergeCell ref="AF34:AJ34"/>
    <mergeCell ref="AL34:AP34"/>
    <mergeCell ref="J31:W31"/>
    <mergeCell ref="Z31:AD31"/>
    <mergeCell ref="AF31:AJ31"/>
    <mergeCell ref="AL31:AP31"/>
    <mergeCell ref="J32:W32"/>
    <mergeCell ref="Z32:AD32"/>
    <mergeCell ref="AF32:AJ32"/>
    <mergeCell ref="AL32:AP32"/>
    <mergeCell ref="J29:W29"/>
    <mergeCell ref="Z29:AD29"/>
    <mergeCell ref="AF29:AJ29"/>
    <mergeCell ref="AL29:AP29"/>
    <mergeCell ref="J30:W30"/>
    <mergeCell ref="Z30:AD30"/>
    <mergeCell ref="AF30:AJ30"/>
    <mergeCell ref="AL30:AP30"/>
    <mergeCell ref="AU25:AV25"/>
    <mergeCell ref="AW25:AX25"/>
    <mergeCell ref="AZ25:BA25"/>
    <mergeCell ref="J28:W28"/>
    <mergeCell ref="Z28:AD28"/>
    <mergeCell ref="AF28:AJ28"/>
    <mergeCell ref="AL28:AP28"/>
    <mergeCell ref="Z24:AD24"/>
    <mergeCell ref="AL24:AP24"/>
    <mergeCell ref="Z25:AD27"/>
    <mergeCell ref="AF25:AJ27"/>
    <mergeCell ref="AL25:AP27"/>
    <mergeCell ref="AR25:AT25"/>
    <mergeCell ref="J20:W20"/>
    <mergeCell ref="Z20:AD20"/>
    <mergeCell ref="AF20:AJ20"/>
    <mergeCell ref="AL20:AP20"/>
    <mergeCell ref="AF21:AJ21"/>
    <mergeCell ref="AL21:AQ21"/>
    <mergeCell ref="J18:W18"/>
    <mergeCell ref="Z18:AD18"/>
    <mergeCell ref="AF18:AJ18"/>
    <mergeCell ref="AL18:AP18"/>
    <mergeCell ref="J19:W19"/>
    <mergeCell ref="Z19:AD19"/>
    <mergeCell ref="AF19:AJ19"/>
    <mergeCell ref="AL19:AP19"/>
    <mergeCell ref="AL9:AP11"/>
    <mergeCell ref="AR9:AT9"/>
    <mergeCell ref="AU9:AV9"/>
    <mergeCell ref="AW10:AX10"/>
    <mergeCell ref="AY10:AY11"/>
    <mergeCell ref="AZ10:BA10"/>
    <mergeCell ref="AF16:AJ16"/>
    <mergeCell ref="AL16:AP16"/>
    <mergeCell ref="J17:W17"/>
    <mergeCell ref="Z17:AD17"/>
    <mergeCell ref="AF17:AJ17"/>
    <mergeCell ref="AL17:AP17"/>
    <mergeCell ref="AL13:AP13"/>
    <mergeCell ref="J14:W14"/>
    <mergeCell ref="Z14:AD14"/>
    <mergeCell ref="AF14:AJ14"/>
    <mergeCell ref="AL14:AP14"/>
    <mergeCell ref="J15:W15"/>
    <mergeCell ref="Z15:AD15"/>
    <mergeCell ref="AF15:AJ15"/>
    <mergeCell ref="AL15:AP15"/>
    <mergeCell ref="AW2:BF2"/>
    <mergeCell ref="AW4:AX4"/>
    <mergeCell ref="AY4:AY5"/>
    <mergeCell ref="AZ4:BA4"/>
    <mergeCell ref="BB4:BB5"/>
    <mergeCell ref="BC4:BC5"/>
    <mergeCell ref="J16:W16"/>
    <mergeCell ref="Z16:AD16"/>
    <mergeCell ref="J13:W13"/>
    <mergeCell ref="Z13:AD13"/>
    <mergeCell ref="AF13:AJ13"/>
    <mergeCell ref="Z8:AD8"/>
    <mergeCell ref="BB10:BB11"/>
    <mergeCell ref="BC10:BD10"/>
    <mergeCell ref="BE10:BE11"/>
    <mergeCell ref="BF10:BF11"/>
    <mergeCell ref="J12:W12"/>
    <mergeCell ref="Z12:AD12"/>
    <mergeCell ref="AF12:AJ12"/>
    <mergeCell ref="AL12:AP12"/>
    <mergeCell ref="AL8:AP8"/>
    <mergeCell ref="AW8:BF8"/>
    <mergeCell ref="Z9:AD11"/>
    <mergeCell ref="AF9:AJ1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U43"/>
  <sheetViews>
    <sheetView topLeftCell="D1" zoomScale="110" zoomScaleNormal="110" workbookViewId="0">
      <selection activeCell="U12" sqref="U12"/>
    </sheetView>
  </sheetViews>
  <sheetFormatPr defaultColWidth="10.85546875" defaultRowHeight="15"/>
  <cols>
    <col min="1" max="1" width="4.7109375" style="191" customWidth="1"/>
    <col min="2" max="2" width="23.85546875" style="166" customWidth="1"/>
    <col min="3" max="5" width="10.85546875" style="166"/>
    <col min="6" max="6" width="11.85546875" style="166" customWidth="1"/>
    <col min="7" max="7" width="7" style="166" customWidth="1"/>
    <col min="8" max="8" width="11" style="166" bestFit="1" customWidth="1"/>
    <col min="9" max="9" width="11.42578125" style="166" bestFit="1" customWidth="1"/>
    <col min="10" max="10" width="11.42578125" style="166" customWidth="1"/>
    <col min="11" max="11" width="13.85546875" style="166" customWidth="1"/>
    <col min="12" max="12" width="13.140625" style="166" bestFit="1" customWidth="1"/>
    <col min="13" max="13" width="13.42578125" style="166" customWidth="1"/>
    <col min="14" max="14" width="1.7109375" style="166" customWidth="1"/>
    <col min="15" max="15" width="13.140625" style="166" customWidth="1"/>
    <col min="16" max="16" width="12.7109375" style="166" customWidth="1"/>
    <col min="17" max="17" width="0.42578125" style="166" customWidth="1"/>
    <col min="18" max="18" width="10.85546875" style="166"/>
    <col min="19" max="19" width="14.140625" style="166" customWidth="1"/>
    <col min="20" max="16384" width="10.85546875" style="166"/>
  </cols>
  <sheetData>
    <row r="2" spans="1:21" ht="120">
      <c r="A2" s="193"/>
      <c r="B2" s="159" t="s">
        <v>1248</v>
      </c>
      <c r="C2" s="159" t="s">
        <v>1249</v>
      </c>
      <c r="D2" s="160" t="s">
        <v>1250</v>
      </c>
      <c r="E2" s="161" t="s">
        <v>1315</v>
      </c>
      <c r="F2" s="161" t="s">
        <v>1252</v>
      </c>
      <c r="G2" s="162" t="s">
        <v>1253</v>
      </c>
      <c r="H2" s="162" t="s">
        <v>1254</v>
      </c>
      <c r="I2" s="162" t="s">
        <v>1351</v>
      </c>
      <c r="J2" s="162" t="s">
        <v>1352</v>
      </c>
      <c r="K2" s="182" t="s">
        <v>1310</v>
      </c>
      <c r="L2" s="181" t="s">
        <v>1311</v>
      </c>
      <c r="M2" s="182" t="s">
        <v>1312</v>
      </c>
      <c r="N2" s="182" t="s">
        <v>1316</v>
      </c>
      <c r="O2" s="182" t="s">
        <v>1313</v>
      </c>
      <c r="P2" s="160" t="s">
        <v>1263</v>
      </c>
      <c r="Q2" s="182" t="s">
        <v>1316</v>
      </c>
      <c r="R2" s="190" t="s">
        <v>1264</v>
      </c>
      <c r="S2" s="351" t="s">
        <v>1314</v>
      </c>
      <c r="T2" s="182" t="s">
        <v>1400</v>
      </c>
    </row>
    <row r="3" spans="1:21">
      <c r="A3" s="193">
        <v>1</v>
      </c>
      <c r="B3" s="204" t="s">
        <v>1255</v>
      </c>
      <c r="C3" s="163" t="s">
        <v>1281</v>
      </c>
      <c r="D3" s="164" t="s">
        <v>1257</v>
      </c>
      <c r="E3" s="177">
        <v>0.17670952862091799</v>
      </c>
      <c r="F3" s="164">
        <f t="shared" ref="F3:F9" si="0">E3/12</f>
        <v>1.4725794051743166E-2</v>
      </c>
      <c r="G3" s="202">
        <v>26</v>
      </c>
      <c r="H3" s="164">
        <v>12500</v>
      </c>
      <c r="I3" s="183">
        <f>'Опер ар_Сервис элит'!C33</f>
        <v>150000</v>
      </c>
      <c r="J3" s="207">
        <v>150000</v>
      </c>
      <c r="K3" s="183">
        <f>'Опер ар_Сервис элит'!G7</f>
        <v>268400.29789480788</v>
      </c>
      <c r="L3" s="183">
        <f>'Опер ар_Сервис элит'!M10</f>
        <v>123877.06056683441</v>
      </c>
      <c r="M3" s="183">
        <f t="shared" ref="M3:M9" si="1">K3-L3</f>
        <v>144523.23732797347</v>
      </c>
      <c r="N3" s="183">
        <f>'Опер ар_Сервис элит'!O10</f>
        <v>144523.23732797347</v>
      </c>
      <c r="O3" s="183">
        <f>'Опер ар_Сервис элит'!D54</f>
        <v>268400.29789480835</v>
      </c>
      <c r="P3" s="183">
        <f>'Опер ар_Сервис элит'!D33</f>
        <v>136576.99284018314</v>
      </c>
      <c r="Q3" s="183">
        <f t="shared" ref="Q3:Q10" si="2">P3+R3</f>
        <v>150000</v>
      </c>
      <c r="R3" s="183">
        <f>'Опер ар_Сервис элит'!E33</f>
        <v>13423.007159816865</v>
      </c>
      <c r="S3" s="352">
        <f>'Опер ар_Сервис элит'!F33</f>
        <v>131823.30505462474</v>
      </c>
      <c r="T3" s="189">
        <f>'Опер ар_Сервис элит'!D47</f>
        <v>114602.24998843348</v>
      </c>
    </row>
    <row r="4" spans="1:21">
      <c r="A4" s="193">
        <v>2</v>
      </c>
      <c r="B4" s="204" t="s">
        <v>1317</v>
      </c>
      <c r="C4" s="163" t="s">
        <v>1281</v>
      </c>
      <c r="D4" s="164" t="s">
        <v>1286</v>
      </c>
      <c r="E4" s="177">
        <v>0.17670952862091799</v>
      </c>
      <c r="F4" s="164">
        <f t="shared" si="0"/>
        <v>1.4725794051743166E-2</v>
      </c>
      <c r="G4" s="202">
        <v>23</v>
      </c>
      <c r="H4" s="164">
        <v>10000</v>
      </c>
      <c r="I4" s="183">
        <f>'ОА Романовская'!C33</f>
        <v>120000</v>
      </c>
      <c r="J4" s="207">
        <v>32500</v>
      </c>
      <c r="K4" s="183">
        <f>'ОА Романовская'!G7</f>
        <v>193902.44530286654</v>
      </c>
      <c r="L4" s="183">
        <f>'ОА Романовская'!M10</f>
        <v>101166.49320149558</v>
      </c>
      <c r="M4" s="183">
        <f t="shared" si="1"/>
        <v>92735.95210137096</v>
      </c>
      <c r="N4" s="183">
        <f>'ОА Романовская'!O10</f>
        <v>92735.95210137096</v>
      </c>
      <c r="O4" s="183">
        <f>'ОА Романовская'!D48</f>
        <v>193902.44530286686</v>
      </c>
      <c r="P4" s="183">
        <f>'ОА Романовская'!D33</f>
        <v>109261.59427214651</v>
      </c>
      <c r="Q4" s="183">
        <f t="shared" si="2"/>
        <v>120000</v>
      </c>
      <c r="R4" s="183">
        <f>'ОА Романовская'!E33</f>
        <v>10738.405727853493</v>
      </c>
      <c r="S4" s="352">
        <f>'ОА Романовская'!F33</f>
        <v>84640.851030720034</v>
      </c>
      <c r="T4" s="189">
        <f>'ОА Романовская'!D46</f>
        <v>84640.851030720369</v>
      </c>
    </row>
    <row r="5" spans="1:21">
      <c r="A5" s="193">
        <v>4</v>
      </c>
      <c r="B5" s="204" t="s">
        <v>1289</v>
      </c>
      <c r="C5" s="163" t="s">
        <v>1298</v>
      </c>
      <c r="D5" s="166" t="s">
        <v>1306</v>
      </c>
      <c r="E5" s="177">
        <v>0.17670952862091799</v>
      </c>
      <c r="F5" s="164">
        <f t="shared" si="0"/>
        <v>1.4725794051743166E-2</v>
      </c>
      <c r="G5" s="202">
        <v>40</v>
      </c>
      <c r="H5" s="164">
        <v>15000</v>
      </c>
      <c r="I5" s="183">
        <f>'ОА Голден клаб'!C21</f>
        <v>45000</v>
      </c>
      <c r="J5" s="207">
        <v>1897</v>
      </c>
      <c r="K5" s="183">
        <f>'ОА Голден клаб'!G7</f>
        <v>450991.85093087028</v>
      </c>
      <c r="L5" s="183">
        <f>'ОА Голден клаб'!M10</f>
        <v>33824.388819815271</v>
      </c>
      <c r="M5" s="183">
        <f t="shared" si="1"/>
        <v>417167.46211105504</v>
      </c>
      <c r="N5" s="183">
        <f>'ОА Голден клаб'!O10</f>
        <v>417167.46211105504</v>
      </c>
      <c r="O5" s="183">
        <f>'ОА Голден клаб'!D68</f>
        <v>450991.85093087109</v>
      </c>
      <c r="P5" s="183">
        <f>'ОА Голден клаб'!D21</f>
        <v>43706.50192726565</v>
      </c>
      <c r="Q5" s="183">
        <f t="shared" si="2"/>
        <v>45000</v>
      </c>
      <c r="R5" s="183">
        <f>'ОА Голден клаб'!E21</f>
        <v>1293.4980727343536</v>
      </c>
      <c r="S5" s="352">
        <f>'ОА Голден клаб'!F21</f>
        <v>407285.34900360461</v>
      </c>
      <c r="T5" s="189">
        <f>'ОА Голден клаб'!D35</f>
        <v>156860.17374967874</v>
      </c>
    </row>
    <row r="6" spans="1:21">
      <c r="A6" s="193">
        <v>5</v>
      </c>
      <c r="B6" s="204" t="s">
        <v>1290</v>
      </c>
      <c r="C6" s="163" t="s">
        <v>1347</v>
      </c>
      <c r="D6" s="164" t="s">
        <v>1353</v>
      </c>
      <c r="E6" s="177">
        <v>0.17670952862091799</v>
      </c>
      <c r="F6" s="164">
        <f t="shared" si="0"/>
        <v>1.4725794051743166E-2</v>
      </c>
      <c r="G6" s="202">
        <v>12</v>
      </c>
      <c r="H6" s="164">
        <v>8000</v>
      </c>
      <c r="I6" s="183">
        <f>'ОА Южмедбиосинтез'!C31</f>
        <v>80000</v>
      </c>
      <c r="J6" s="207">
        <v>80000</v>
      </c>
      <c r="K6" s="183">
        <f>'ОА Южмедбиосинтез'!G7</f>
        <v>87409.275417717086</v>
      </c>
      <c r="L6" s="183">
        <f>'ОА Южмедбиосинтез'!M10</f>
        <v>72841.062848097572</v>
      </c>
      <c r="M6" s="183">
        <f t="shared" si="1"/>
        <v>14568.212569619514</v>
      </c>
      <c r="N6" s="183">
        <f>'ОА Южмедбиосинтез'!O10</f>
        <v>14568.212569619514</v>
      </c>
      <c r="O6" s="183">
        <f>'ОА Южмедбиосинтез'!D37</f>
        <v>87409.275417717203</v>
      </c>
      <c r="P6" s="183">
        <f>'ОА Южмедбиосинтез'!D31</f>
        <v>73884.765656208925</v>
      </c>
      <c r="Q6" s="183">
        <f t="shared" si="2"/>
        <v>80000</v>
      </c>
      <c r="R6" s="183">
        <f>'ОА Южмедбиосинтез'!E31</f>
        <v>6115.2343437910777</v>
      </c>
      <c r="S6" s="352">
        <f>'ОА Южмедбиосинтез'!G31</f>
        <v>13524.509761508161</v>
      </c>
      <c r="T6" s="189">
        <f>'ОА Южмедбиосинтез'!D35</f>
        <v>13524.509761508285</v>
      </c>
    </row>
    <row r="7" spans="1:21">
      <c r="A7" s="193">
        <v>8</v>
      </c>
      <c r="B7" s="204" t="s">
        <v>1296</v>
      </c>
      <c r="C7" s="163" t="s">
        <v>1298</v>
      </c>
      <c r="D7" s="164" t="s">
        <v>1297</v>
      </c>
      <c r="E7" s="177">
        <v>0.17670952862091799</v>
      </c>
      <c r="F7" s="164">
        <f t="shared" si="0"/>
        <v>1.4725794051743166E-2</v>
      </c>
      <c r="G7" s="202">
        <v>30</v>
      </c>
      <c r="H7" s="164">
        <v>45000</v>
      </c>
      <c r="I7" s="183">
        <f>'OA Стецко'!C18</f>
        <v>135000</v>
      </c>
      <c r="J7" s="207">
        <v>95000</v>
      </c>
      <c r="K7" s="183">
        <f>'OA Стецко'!G7</f>
        <v>1055901.5606519831</v>
      </c>
      <c r="L7" s="183">
        <f>'OA Стецко'!M10</f>
        <v>109231.1959295155</v>
      </c>
      <c r="M7" s="183">
        <f t="shared" si="1"/>
        <v>946670.36472246761</v>
      </c>
      <c r="N7" s="183">
        <f>'OA Стецко'!O10</f>
        <v>946670.36472246761</v>
      </c>
      <c r="O7" s="183">
        <f>'OA Стецко'!D53</f>
        <v>1055901.560651985</v>
      </c>
      <c r="P7" s="183">
        <f>'OA Стецко'!D18</f>
        <v>131119.50578179694</v>
      </c>
      <c r="Q7" s="183">
        <f t="shared" si="2"/>
        <v>135000</v>
      </c>
      <c r="R7" s="183">
        <f>'OA Стецко'!E18</f>
        <v>3880.4942182030572</v>
      </c>
      <c r="S7" s="352">
        <f>'OA Стецко'!F18</f>
        <v>924782.05487018614</v>
      </c>
      <c r="T7" s="189">
        <f>'OA Стецко'!D32</f>
        <v>470580.5212490363</v>
      </c>
    </row>
    <row r="8" spans="1:21">
      <c r="A8" s="193">
        <v>9</v>
      </c>
      <c r="B8" s="204" t="s">
        <v>1318</v>
      </c>
      <c r="C8" s="163" t="s">
        <v>1281</v>
      </c>
      <c r="D8" s="164" t="s">
        <v>1302</v>
      </c>
      <c r="E8" s="177">
        <v>0.17670952862091799</v>
      </c>
      <c r="F8" s="164">
        <f t="shared" si="0"/>
        <v>1.4725794051743166E-2</v>
      </c>
      <c r="G8" s="202">
        <v>24</v>
      </c>
      <c r="H8" s="164">
        <v>15000</v>
      </c>
      <c r="I8" s="183">
        <f>Балабан!C33</f>
        <v>180000</v>
      </c>
      <c r="J8" s="207">
        <v>165000</v>
      </c>
      <c r="K8" s="183">
        <f>Балабан!G7</f>
        <v>301415.09139433946</v>
      </c>
      <c r="L8" s="183">
        <f>Балабан!M10</f>
        <v>150707.54569716973</v>
      </c>
      <c r="M8" s="183">
        <f t="shared" si="1"/>
        <v>150707.54569716973</v>
      </c>
      <c r="N8" s="183">
        <f>Балабан!O10</f>
        <v>150707.54569716973</v>
      </c>
      <c r="O8" s="183">
        <f>Балабан!D49</f>
        <v>301415.09139433998</v>
      </c>
      <c r="P8" s="183">
        <f>Балабан!D33</f>
        <v>163892.39140821979</v>
      </c>
      <c r="Q8" s="183">
        <f t="shared" si="2"/>
        <v>180000.00000000003</v>
      </c>
      <c r="R8" s="183">
        <f>Балабан!E33</f>
        <v>16107.608591780239</v>
      </c>
      <c r="S8" s="352">
        <f>Балабан!F33</f>
        <v>137522.69998611967</v>
      </c>
      <c r="T8" s="189">
        <f>Балабан!D47</f>
        <v>137522.69998612019</v>
      </c>
    </row>
    <row r="9" spans="1:21" ht="15.75" thickBot="1">
      <c r="A9" s="194">
        <v>10</v>
      </c>
      <c r="B9" s="206" t="s">
        <v>1319</v>
      </c>
      <c r="C9" s="195" t="s">
        <v>1281</v>
      </c>
      <c r="D9" s="196" t="s">
        <v>1305</v>
      </c>
      <c r="E9" s="197">
        <v>0.17670952862091799</v>
      </c>
      <c r="F9" s="196">
        <f t="shared" si="0"/>
        <v>1.4725794051743166E-2</v>
      </c>
      <c r="G9" s="203">
        <v>14</v>
      </c>
      <c r="H9" s="196">
        <v>15000</v>
      </c>
      <c r="I9" s="198">
        <f>Балабан!C85</f>
        <v>180000</v>
      </c>
      <c r="J9" s="207">
        <v>165000</v>
      </c>
      <c r="K9" s="198">
        <f>Балабан!G59</f>
        <v>188520.17923660553</v>
      </c>
      <c r="L9" s="198">
        <f>Балабан!M62</f>
        <v>161588.72505994758</v>
      </c>
      <c r="M9" s="198">
        <f t="shared" si="1"/>
        <v>26931.45417665795</v>
      </c>
      <c r="N9" s="198">
        <f>Балабан!O62</f>
        <v>26931.45417665795</v>
      </c>
      <c r="O9" s="198">
        <f>Балабан!D91</f>
        <v>188520.17923660588</v>
      </c>
      <c r="P9" s="198">
        <f>Балабан!D85</f>
        <v>163892.39140821979</v>
      </c>
      <c r="Q9" s="198">
        <f t="shared" si="2"/>
        <v>180000.00000000003</v>
      </c>
      <c r="R9" s="198">
        <f>Балабан!E85</f>
        <v>16107.608591780239</v>
      </c>
      <c r="S9" s="353">
        <f>Балабан!F85</f>
        <v>24627.787828385743</v>
      </c>
      <c r="T9" s="189">
        <f>Балабан!D89</f>
        <v>24627.787828386092</v>
      </c>
    </row>
    <row r="10" spans="1:21" s="192" customFormat="1" ht="15.75" thickBot="1">
      <c r="A10" s="199"/>
      <c r="B10" s="200"/>
      <c r="C10" s="200"/>
      <c r="D10" s="200"/>
      <c r="E10" s="200"/>
      <c r="F10" s="200"/>
      <c r="G10" s="200"/>
      <c r="H10" s="200"/>
      <c r="I10" s="215">
        <f t="shared" ref="I10:P10" si="3">SUM(I3:I9)</f>
        <v>890000</v>
      </c>
      <c r="J10" s="216">
        <f t="shared" si="3"/>
        <v>689397</v>
      </c>
      <c r="K10" s="201">
        <f t="shared" si="3"/>
        <v>2546540.7008291902</v>
      </c>
      <c r="L10" s="201">
        <f t="shared" si="3"/>
        <v>753236.47212287562</v>
      </c>
      <c r="M10" s="201">
        <f t="shared" si="3"/>
        <v>1793304.2287063142</v>
      </c>
      <c r="N10" s="201">
        <f t="shared" si="3"/>
        <v>1793304.2287063142</v>
      </c>
      <c r="O10" s="201">
        <f t="shared" si="3"/>
        <v>2546540.7008291944</v>
      </c>
      <c r="P10" s="201">
        <f t="shared" si="3"/>
        <v>822334.14329404081</v>
      </c>
      <c r="Q10" s="201">
        <f t="shared" si="2"/>
        <v>890000.00000000012</v>
      </c>
      <c r="R10" s="201">
        <f>SUM(R3:R9)</f>
        <v>67665.856705959333</v>
      </c>
      <c r="S10" s="201">
        <f>SUM(S3:S9)</f>
        <v>1724206.5575351492</v>
      </c>
      <c r="T10" s="205">
        <f>SUM(T3:T9)</f>
        <v>1002358.7935938835</v>
      </c>
    </row>
    <row r="11" spans="1:21" s="192" customFormat="1">
      <c r="A11" s="412"/>
      <c r="B11" s="413">
        <v>2020</v>
      </c>
      <c r="C11" s="413"/>
      <c r="D11" s="413"/>
      <c r="E11" s="413"/>
      <c r="F11" s="413"/>
      <c r="G11" s="413"/>
      <c r="H11" s="413"/>
      <c r="I11" s="414"/>
      <c r="J11" s="415"/>
      <c r="K11" s="416"/>
      <c r="L11" s="416">
        <f>'Опер ар_Сервис элит'!M11+'ОА Романовская'!M11+'ОА Голден клаб'!M11+'ОА Южмедбиосинтез'!M11+'OA Стецко'!M11+Балабан!M11+Балабан!M63</f>
        <v>981042.5641089757</v>
      </c>
      <c r="M11" s="416">
        <f>K10-L11</f>
        <v>1565498.1367202145</v>
      </c>
      <c r="N11" s="416"/>
      <c r="O11" s="416"/>
      <c r="P11" s="416"/>
      <c r="Q11" s="416"/>
      <c r="R11" s="416">
        <f>'Опер ар_Сервис элит'!E47+'ОА Романовская'!E46+'ОА Голден клаб'!E35+'ОА Южмедбиосинтез'!E35+'OA Стецко'!E32+Балабан!E85+Балабан!E47</f>
        <v>214376.60282628291</v>
      </c>
      <c r="S11" s="416"/>
      <c r="T11" s="417">
        <f>'Опер ар_Сервис элит'!D52+'ОА Голден клаб'!D49+'OA Стецко'!D46</f>
        <v>543708.81765224319</v>
      </c>
      <c r="U11" s="192" t="s">
        <v>1578</v>
      </c>
    </row>
    <row r="12" spans="1:21" s="192" customFormat="1">
      <c r="A12" s="412"/>
      <c r="B12" s="413"/>
      <c r="C12" s="413"/>
      <c r="D12" s="413"/>
      <c r="E12" s="413"/>
      <c r="F12" s="413"/>
      <c r="G12" s="413"/>
      <c r="H12" s="413"/>
      <c r="I12" s="414"/>
      <c r="J12" s="415"/>
      <c r="K12" s="416"/>
      <c r="L12" s="416"/>
      <c r="M12" s="416"/>
      <c r="N12" s="416"/>
      <c r="O12" s="416"/>
      <c r="P12" s="416"/>
      <c r="Q12" s="416"/>
      <c r="R12" s="416"/>
      <c r="S12" s="416"/>
      <c r="T12" s="417"/>
    </row>
    <row r="13" spans="1:21">
      <c r="Q13" s="184">
        <f>O10-P10</f>
        <v>1724206.5575351536</v>
      </c>
      <c r="S13" s="184">
        <f>O10-S10</f>
        <v>822334.14329404524</v>
      </c>
    </row>
    <row r="14" spans="1:21">
      <c r="C14" s="166" t="s">
        <v>1389</v>
      </c>
      <c r="I14" s="184">
        <f>S13+R10</f>
        <v>890000.00000000454</v>
      </c>
      <c r="J14" s="184"/>
      <c r="Q14" s="184">
        <f>Q13-S10</f>
        <v>4.4237822294235229E-9</v>
      </c>
    </row>
    <row r="15" spans="1:21">
      <c r="B15" s="166" t="s">
        <v>1325</v>
      </c>
      <c r="T15" s="166">
        <v>1057233</v>
      </c>
    </row>
    <row r="16" spans="1:21">
      <c r="B16" s="166" t="s">
        <v>1326</v>
      </c>
      <c r="C16" s="166" t="s">
        <v>1327</v>
      </c>
      <c r="F16" s="210">
        <f>K10</f>
        <v>2546540.7008291902</v>
      </c>
      <c r="I16" s="217"/>
      <c r="J16" s="218"/>
      <c r="K16" s="219"/>
    </row>
    <row r="17" spans="1:11">
      <c r="B17" s="166" t="s">
        <v>1328</v>
      </c>
      <c r="C17" s="166" t="s">
        <v>1329</v>
      </c>
      <c r="F17" s="210">
        <f>O10</f>
        <v>2546540.7008291944</v>
      </c>
      <c r="I17" s="217"/>
      <c r="J17" s="218"/>
      <c r="K17" s="219"/>
    </row>
    <row r="18" spans="1:11">
      <c r="F18" s="210"/>
      <c r="I18" s="217"/>
      <c r="J18" s="218"/>
      <c r="K18" s="219"/>
    </row>
    <row r="19" spans="1:11">
      <c r="B19" s="166" t="s">
        <v>1330</v>
      </c>
      <c r="F19" s="210"/>
      <c r="I19" s="217"/>
      <c r="J19" s="218"/>
      <c r="K19" s="219"/>
    </row>
    <row r="20" spans="1:11">
      <c r="B20" s="166" t="s">
        <v>1331</v>
      </c>
      <c r="F20" s="210">
        <f>S13</f>
        <v>822334.14329404524</v>
      </c>
      <c r="I20" s="217"/>
      <c r="J20" s="218"/>
      <c r="K20" s="219"/>
    </row>
    <row r="21" spans="1:11">
      <c r="B21" s="166" t="s">
        <v>1332</v>
      </c>
      <c r="F21" s="210"/>
      <c r="I21" s="217"/>
      <c r="J21" s="218"/>
      <c r="K21" s="219"/>
    </row>
    <row r="22" spans="1:11">
      <c r="F22" s="210"/>
      <c r="I22" s="217"/>
      <c r="J22" s="218"/>
      <c r="K22" s="219"/>
    </row>
    <row r="23" spans="1:11">
      <c r="B23" s="166" t="s">
        <v>1333</v>
      </c>
      <c r="F23" s="210"/>
      <c r="H23" s="166">
        <v>2019</v>
      </c>
    </row>
    <row r="24" spans="1:11">
      <c r="B24" s="166" t="s">
        <v>1390</v>
      </c>
      <c r="F24" s="210">
        <f>L10</f>
        <v>753236.47212287562</v>
      </c>
      <c r="H24" s="166" t="s">
        <v>1402</v>
      </c>
    </row>
    <row r="25" spans="1:11">
      <c r="B25" s="166" t="s">
        <v>1334</v>
      </c>
      <c r="F25" s="210"/>
      <c r="H25" s="166" t="s">
        <v>1403</v>
      </c>
      <c r="I25" s="184">
        <f>I10</f>
        <v>890000</v>
      </c>
      <c r="J25" s="166" t="s">
        <v>1404</v>
      </c>
    </row>
    <row r="26" spans="1:11">
      <c r="F26" s="210"/>
    </row>
    <row r="27" spans="1:11">
      <c r="B27" s="166" t="s">
        <v>1335</v>
      </c>
      <c r="F27" s="210"/>
      <c r="H27" s="166" t="s">
        <v>1341</v>
      </c>
    </row>
    <row r="28" spans="1:11">
      <c r="B28" s="166" t="s">
        <v>1336</v>
      </c>
      <c r="F28" s="210">
        <f>R10</f>
        <v>67665.856705959333</v>
      </c>
      <c r="H28" s="184" t="s">
        <v>1388</v>
      </c>
      <c r="I28" s="184">
        <f>I10</f>
        <v>890000</v>
      </c>
      <c r="J28" s="184"/>
    </row>
    <row r="29" spans="1:11">
      <c r="B29" s="166" t="s">
        <v>1332</v>
      </c>
      <c r="F29" s="210"/>
    </row>
    <row r="30" spans="1:11">
      <c r="F30" s="210">
        <f>F20+F28</f>
        <v>890000.00000000454</v>
      </c>
    </row>
    <row r="32" spans="1:11" s="212" customFormat="1">
      <c r="A32" s="211"/>
      <c r="B32" s="212" t="s">
        <v>1337</v>
      </c>
      <c r="F32" s="213"/>
    </row>
    <row r="33" spans="1:8" s="212" customFormat="1">
      <c r="A33" s="211"/>
      <c r="B33" s="212" t="s">
        <v>1338</v>
      </c>
      <c r="F33" s="213">
        <f>I10</f>
        <v>890000</v>
      </c>
    </row>
    <row r="34" spans="1:8" s="212" customFormat="1">
      <c r="A34" s="211"/>
      <c r="B34" s="212" t="s">
        <v>1339</v>
      </c>
      <c r="F34" s="213">
        <f>J10</f>
        <v>689397</v>
      </c>
      <c r="H34" s="213"/>
    </row>
    <row r="35" spans="1:8" s="212" customFormat="1">
      <c r="A35" s="211"/>
      <c r="B35" s="212" t="s">
        <v>1388</v>
      </c>
      <c r="F35" s="213">
        <f>F33-F34</f>
        <v>200603</v>
      </c>
    </row>
    <row r="36" spans="1:8" s="212" customFormat="1">
      <c r="A36" s="211"/>
      <c r="F36" s="213"/>
    </row>
    <row r="37" spans="1:8" s="212" customFormat="1">
      <c r="A37" s="211"/>
      <c r="B37" s="212" t="s">
        <v>1340</v>
      </c>
      <c r="F37" s="213"/>
    </row>
    <row r="38" spans="1:8" s="212" customFormat="1">
      <c r="A38" s="211"/>
      <c r="B38" s="212" t="s">
        <v>1341</v>
      </c>
      <c r="F38" s="213">
        <f>F20+F28</f>
        <v>890000.00000000454</v>
      </c>
    </row>
    <row r="39" spans="1:8" s="212" customFormat="1">
      <c r="A39" s="211"/>
      <c r="B39" s="212" t="s">
        <v>1342</v>
      </c>
      <c r="F39" s="213">
        <f>F33</f>
        <v>890000</v>
      </c>
    </row>
    <row r="40" spans="1:8">
      <c r="A40" s="191">
        <v>8</v>
      </c>
      <c r="B40" s="166" t="s">
        <v>1399</v>
      </c>
    </row>
    <row r="42" spans="1:8">
      <c r="B42" s="166" t="s">
        <v>1331</v>
      </c>
      <c r="F42" s="179">
        <f>T10</f>
        <v>1002358.7935938835</v>
      </c>
    </row>
    <row r="43" spans="1:8">
      <c r="B43" s="166" t="s">
        <v>1332</v>
      </c>
    </row>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dimension ref="A2:O54"/>
  <sheetViews>
    <sheetView topLeftCell="A21" zoomScale="120" zoomScaleNormal="120" workbookViewId="0">
      <selection activeCell="F34" sqref="F34"/>
    </sheetView>
  </sheetViews>
  <sheetFormatPr defaultColWidth="10.85546875" defaultRowHeight="15"/>
  <cols>
    <col min="1" max="1" width="10.85546875" style="166"/>
    <col min="2" max="2" width="17.140625" style="166" customWidth="1"/>
    <col min="3" max="16384" width="10.85546875" style="166"/>
  </cols>
  <sheetData>
    <row r="2" spans="1:15" ht="165">
      <c r="B2" s="159" t="s">
        <v>1248</v>
      </c>
      <c r="C2" s="159" t="s">
        <v>1249</v>
      </c>
      <c r="D2" s="160" t="s">
        <v>1250</v>
      </c>
      <c r="E2" s="161" t="s">
        <v>1251</v>
      </c>
      <c r="F2" s="161" t="s">
        <v>1252</v>
      </c>
      <c r="G2" s="162" t="s">
        <v>1253</v>
      </c>
      <c r="H2" s="162" t="s">
        <v>1254</v>
      </c>
    </row>
    <row r="3" spans="1:15">
      <c r="B3" s="178" t="s">
        <v>1255</v>
      </c>
      <c r="C3" s="163" t="s">
        <v>1281</v>
      </c>
      <c r="D3" s="164" t="s">
        <v>1257</v>
      </c>
      <c r="E3" s="177">
        <v>0.17670952862091799</v>
      </c>
      <c r="F3" s="164">
        <f>E3/12</f>
        <v>1.4725794051743166E-2</v>
      </c>
      <c r="G3" s="164">
        <v>26</v>
      </c>
      <c r="H3" s="164">
        <v>12500</v>
      </c>
    </row>
    <row r="4" spans="1:15">
      <c r="F4" s="179">
        <f>F3</f>
        <v>1.4725794051743166E-2</v>
      </c>
    </row>
    <row r="6" spans="1:15">
      <c r="A6" s="165"/>
      <c r="C6" s="167" t="s">
        <v>1258</v>
      </c>
      <c r="D6" s="168"/>
      <c r="E6" s="165"/>
      <c r="F6" s="165"/>
      <c r="G6" s="169"/>
    </row>
    <row r="7" spans="1:15">
      <c r="A7" s="165"/>
      <c r="B7" s="167"/>
      <c r="C7" s="167"/>
      <c r="D7" s="168"/>
      <c r="E7" s="165"/>
      <c r="F7" s="165" t="s">
        <v>1259</v>
      </c>
      <c r="G7" s="169">
        <f>-PV(F3,G3,H3)</f>
        <v>268400.29789480788</v>
      </c>
      <c r="K7" s="166" t="s">
        <v>1274</v>
      </c>
    </row>
    <row r="8" spans="1:15" ht="60">
      <c r="A8" s="162" t="s">
        <v>1260</v>
      </c>
      <c r="B8" s="159" t="s">
        <v>1261</v>
      </c>
      <c r="C8" s="159" t="s">
        <v>1262</v>
      </c>
      <c r="D8" s="160" t="s">
        <v>1263</v>
      </c>
      <c r="E8" s="162" t="s">
        <v>1264</v>
      </c>
      <c r="F8" s="165"/>
      <c r="G8" s="165"/>
      <c r="I8" s="180" t="s">
        <v>1260</v>
      </c>
      <c r="J8" s="181" t="s">
        <v>1275</v>
      </c>
      <c r="K8" s="182" t="s">
        <v>1276</v>
      </c>
      <c r="L8" s="182" t="s">
        <v>1277</v>
      </c>
      <c r="M8" s="181" t="s">
        <v>1278</v>
      </c>
      <c r="N8" s="182" t="s">
        <v>1279</v>
      </c>
      <c r="O8" s="182" t="s">
        <v>1280</v>
      </c>
    </row>
    <row r="9" spans="1:15">
      <c r="A9" s="162"/>
      <c r="B9" s="176"/>
      <c r="C9" s="171"/>
      <c r="D9" s="164"/>
      <c r="E9" s="164"/>
      <c r="F9" s="165"/>
      <c r="G9" s="165"/>
      <c r="I9" s="181"/>
      <c r="J9" s="181"/>
      <c r="K9" s="185"/>
      <c r="L9" s="183"/>
      <c r="M9" s="183"/>
      <c r="N9" s="183"/>
      <c r="O9" s="183"/>
    </row>
    <row r="10" spans="1:15">
      <c r="A10" s="162"/>
      <c r="B10" s="170"/>
      <c r="C10" s="171"/>
      <c r="D10" s="164"/>
      <c r="E10" s="164"/>
      <c r="F10" s="165"/>
      <c r="G10" s="165"/>
      <c r="I10" s="181"/>
      <c r="J10" s="181">
        <v>2019</v>
      </c>
      <c r="K10" s="185" t="s">
        <v>1282</v>
      </c>
      <c r="L10" s="183">
        <f>G7</f>
        <v>268400.29789480788</v>
      </c>
      <c r="M10" s="183">
        <f>L10/26*12</f>
        <v>123877.06056683441</v>
      </c>
      <c r="N10" s="183">
        <f>M9+M10</f>
        <v>123877.06056683441</v>
      </c>
      <c r="O10" s="183">
        <f>L10-N10</f>
        <v>144523.23732797347</v>
      </c>
    </row>
    <row r="11" spans="1:15">
      <c r="A11" s="162"/>
      <c r="B11" s="170"/>
      <c r="C11" s="171"/>
      <c r="D11" s="164"/>
      <c r="E11" s="164"/>
      <c r="F11" s="165"/>
      <c r="G11" s="165"/>
      <c r="I11" s="181"/>
      <c r="J11" s="181">
        <v>2020</v>
      </c>
      <c r="K11" s="185" t="s">
        <v>1282</v>
      </c>
      <c r="L11" s="183">
        <f>G7</f>
        <v>268400.29789480788</v>
      </c>
      <c r="M11" s="183">
        <f>M10</f>
        <v>123877.06056683441</v>
      </c>
      <c r="N11" s="183">
        <f>N10+M11</f>
        <v>247754.12113366881</v>
      </c>
      <c r="O11" s="183">
        <f>L11-N11</f>
        <v>20646.176761139068</v>
      </c>
    </row>
    <row r="12" spans="1:15">
      <c r="A12" s="162"/>
      <c r="B12" s="170"/>
      <c r="C12" s="171"/>
      <c r="D12" s="164"/>
      <c r="E12" s="164"/>
      <c r="F12" s="165"/>
      <c r="G12" s="165"/>
      <c r="I12" s="181"/>
      <c r="J12" s="181">
        <v>2021</v>
      </c>
      <c r="K12" s="185" t="s">
        <v>1283</v>
      </c>
      <c r="L12" s="183">
        <f>G7</f>
        <v>268400.29789480788</v>
      </c>
      <c r="M12" s="183">
        <f>L12/26*2</f>
        <v>20646.176761139068</v>
      </c>
      <c r="N12" s="183">
        <f>N11+M12</f>
        <v>268400.29789480788</v>
      </c>
      <c r="O12" s="183">
        <f>L12-N12</f>
        <v>0</v>
      </c>
    </row>
    <row r="13" spans="1:15">
      <c r="A13" s="162"/>
      <c r="B13" s="170"/>
      <c r="C13" s="171"/>
      <c r="D13" s="164"/>
      <c r="E13" s="164"/>
      <c r="F13" s="165"/>
      <c r="G13" s="165"/>
      <c r="M13" s="184">
        <f>SUM(M9:M12)</f>
        <v>268400.29789480788</v>
      </c>
    </row>
    <row r="14" spans="1:15">
      <c r="A14" s="162"/>
      <c r="B14" s="170"/>
      <c r="C14" s="171"/>
      <c r="D14" s="164"/>
      <c r="E14" s="164"/>
      <c r="F14" s="165"/>
      <c r="G14" s="165"/>
    </row>
    <row r="15" spans="1:15">
      <c r="A15" s="162"/>
      <c r="B15" s="170"/>
      <c r="C15" s="171"/>
      <c r="D15" s="164"/>
      <c r="E15" s="164"/>
      <c r="F15" s="165"/>
      <c r="G15" s="165"/>
    </row>
    <row r="16" spans="1:15">
      <c r="A16" s="162"/>
      <c r="B16" s="170"/>
      <c r="C16" s="171"/>
      <c r="D16" s="164"/>
      <c r="E16" s="164"/>
      <c r="F16" s="165"/>
      <c r="G16" s="165"/>
    </row>
    <row r="17" spans="1:7">
      <c r="A17" s="162"/>
      <c r="B17" s="170"/>
      <c r="C17" s="171"/>
      <c r="D17" s="164"/>
      <c r="E17" s="164"/>
      <c r="F17" s="165"/>
      <c r="G17" s="165"/>
    </row>
    <row r="18" spans="1:7">
      <c r="A18" s="162"/>
      <c r="B18" s="170"/>
      <c r="C18" s="171"/>
      <c r="D18" s="164"/>
      <c r="E18" s="164"/>
      <c r="F18" s="165"/>
      <c r="G18" s="165"/>
    </row>
    <row r="19" spans="1:7">
      <c r="A19" s="162"/>
      <c r="B19" s="159"/>
      <c r="C19" s="172"/>
      <c r="D19" s="173"/>
      <c r="E19" s="173"/>
      <c r="F19" s="165"/>
      <c r="G19" s="165"/>
    </row>
    <row r="20" spans="1:7">
      <c r="A20" s="162"/>
      <c r="B20" s="159"/>
      <c r="C20" s="159"/>
      <c r="D20" s="164"/>
      <c r="E20" s="162"/>
      <c r="F20" s="165"/>
      <c r="G20" s="165"/>
    </row>
    <row r="21" spans="1:7">
      <c r="A21" s="162">
        <v>1</v>
      </c>
      <c r="B21" s="170">
        <v>43466</v>
      </c>
      <c r="C21" s="171">
        <v>12500</v>
      </c>
      <c r="D21" s="164">
        <f>C21/POWER(1+F4,A21)</f>
        <v>12318.598850324088</v>
      </c>
      <c r="E21" s="164">
        <f t="shared" ref="E21:E32" si="0">C21-D21</f>
        <v>181.40114967591217</v>
      </c>
      <c r="F21" s="165"/>
      <c r="G21" s="165"/>
    </row>
    <row r="22" spans="1:7">
      <c r="A22" s="162">
        <v>2</v>
      </c>
      <c r="B22" s="170">
        <v>43497</v>
      </c>
      <c r="C22" s="171">
        <v>12500</v>
      </c>
      <c r="D22" s="164">
        <f>C22/POWER(1+F4,A22)</f>
        <v>12139.830210816475</v>
      </c>
      <c r="E22" s="164">
        <f t="shared" si="0"/>
        <v>360.1697891835247</v>
      </c>
      <c r="F22" s="165"/>
      <c r="G22" s="165"/>
    </row>
    <row r="23" spans="1:7">
      <c r="A23" s="162">
        <v>3</v>
      </c>
      <c r="B23" s="170">
        <v>43525</v>
      </c>
      <c r="C23" s="171">
        <v>12500</v>
      </c>
      <c r="D23" s="164">
        <f>C23/POWER(1+F4,A23)</f>
        <v>11963.655878247477</v>
      </c>
      <c r="E23" s="164">
        <f t="shared" si="0"/>
        <v>536.34412175252328</v>
      </c>
      <c r="F23" s="165"/>
      <c r="G23" s="165"/>
    </row>
    <row r="24" spans="1:7">
      <c r="A24" s="162">
        <v>4</v>
      </c>
      <c r="B24" s="170">
        <v>43556</v>
      </c>
      <c r="C24" s="171">
        <v>12500</v>
      </c>
      <c r="D24" s="164">
        <f>C24/POWER(1+F4,A24)</f>
        <v>11790.03820379619</v>
      </c>
      <c r="E24" s="164">
        <f t="shared" si="0"/>
        <v>709.96179620381008</v>
      </c>
      <c r="F24" s="165"/>
      <c r="G24" s="165"/>
    </row>
    <row r="25" spans="1:7">
      <c r="A25" s="162">
        <v>5</v>
      </c>
      <c r="B25" s="170">
        <v>43586</v>
      </c>
      <c r="C25" s="171">
        <v>12500</v>
      </c>
      <c r="D25" s="164">
        <f>C25/POWER(1+F4,A25)</f>
        <v>11618.940085004866</v>
      </c>
      <c r="E25" s="164">
        <f t="shared" si="0"/>
        <v>881.05991499513402</v>
      </c>
      <c r="F25" s="165"/>
      <c r="G25" s="165"/>
    </row>
    <row r="26" spans="1:7">
      <c r="A26" s="162">
        <v>6</v>
      </c>
      <c r="B26" s="170">
        <v>43617</v>
      </c>
      <c r="C26" s="171">
        <v>12500</v>
      </c>
      <c r="D26" s="164">
        <f>C26/POWER(1+F4,A26)</f>
        <v>11450.324957850031</v>
      </c>
      <c r="E26" s="164">
        <f t="shared" si="0"/>
        <v>1049.6750421499692</v>
      </c>
      <c r="F26" s="165"/>
      <c r="G26" s="165"/>
    </row>
    <row r="27" spans="1:7">
      <c r="A27" s="162">
        <v>7</v>
      </c>
      <c r="B27" s="170">
        <v>43647</v>
      </c>
      <c r="C27" s="171">
        <v>12500</v>
      </c>
      <c r="D27" s="164">
        <f>C27/POWER(1+F4,A27)</f>
        <v>11284.156788928687</v>
      </c>
      <c r="E27" s="164">
        <f t="shared" si="0"/>
        <v>1215.8432110713129</v>
      </c>
      <c r="F27" s="165"/>
      <c r="G27" s="165"/>
    </row>
    <row r="28" spans="1:7">
      <c r="A28" s="162">
        <v>8</v>
      </c>
      <c r="B28" s="170">
        <v>43678</v>
      </c>
      <c r="C28" s="171">
        <v>12500</v>
      </c>
      <c r="D28" s="164">
        <f>C28/POWER(1+F4,A28)</f>
        <v>11120.400067757895</v>
      </c>
      <c r="E28" s="164">
        <f t="shared" si="0"/>
        <v>1379.5999322421048</v>
      </c>
      <c r="F28" s="165"/>
      <c r="G28" s="165"/>
    </row>
    <row r="29" spans="1:7">
      <c r="A29" s="162">
        <v>9</v>
      </c>
      <c r="B29" s="170">
        <v>43709</v>
      </c>
      <c r="C29" s="171">
        <v>12500</v>
      </c>
      <c r="D29" s="164">
        <f>C29/POWER(1+F4,A29)</f>
        <v>10959.019799186104</v>
      </c>
      <c r="E29" s="164">
        <f t="shared" si="0"/>
        <v>1540.9802008138959</v>
      </c>
      <c r="F29" s="165"/>
      <c r="G29" s="165"/>
    </row>
    <row r="30" spans="1:7">
      <c r="A30" s="162">
        <v>10</v>
      </c>
      <c r="B30" s="170">
        <v>43739</v>
      </c>
      <c r="C30" s="171">
        <v>12500</v>
      </c>
      <c r="D30" s="164">
        <f>C30/POWER(1+F4,A30)</f>
        <v>10799.981495914628</v>
      </c>
      <c r="E30" s="164">
        <f t="shared" si="0"/>
        <v>1700.0185040853721</v>
      </c>
      <c r="F30" s="165"/>
      <c r="G30" s="165"/>
    </row>
    <row r="31" spans="1:7">
      <c r="A31" s="162">
        <v>11</v>
      </c>
      <c r="B31" s="170">
        <v>43770</v>
      </c>
      <c r="C31" s="171">
        <v>12500</v>
      </c>
      <c r="D31" s="164">
        <f>C31/POWER(1+F4,A31)</f>
        <v>10643.251171127629</v>
      </c>
      <c r="E31" s="164">
        <f t="shared" si="0"/>
        <v>1856.7488288723707</v>
      </c>
      <c r="F31" s="165"/>
      <c r="G31" s="165"/>
    </row>
    <row r="32" spans="1:7">
      <c r="A32" s="162">
        <v>12</v>
      </c>
      <c r="B32" s="170">
        <v>43800</v>
      </c>
      <c r="C32" s="171">
        <v>12500</v>
      </c>
      <c r="D32" s="164">
        <f>C32/POWER(1+F4,A32)</f>
        <v>10488.795331229065</v>
      </c>
      <c r="E32" s="164">
        <f t="shared" si="0"/>
        <v>2011.2046687709353</v>
      </c>
      <c r="F32" s="165"/>
      <c r="G32" s="165"/>
    </row>
    <row r="33" spans="1:7">
      <c r="A33" s="162"/>
      <c r="B33" s="159"/>
      <c r="C33" s="172">
        <f>SUM(C21:C32)</f>
        <v>150000</v>
      </c>
      <c r="D33" s="173">
        <f>SUM(D21:D32)</f>
        <v>136576.99284018314</v>
      </c>
      <c r="E33" s="173">
        <f>SUM(E21:E32)</f>
        <v>13423.007159816865</v>
      </c>
      <c r="F33" s="168">
        <f>G7-D33</f>
        <v>131823.30505462474</v>
      </c>
      <c r="G33" s="168">
        <f>D33+E33</f>
        <v>150000</v>
      </c>
    </row>
    <row r="34" spans="1:7">
      <c r="A34" s="162"/>
      <c r="B34" s="159"/>
      <c r="C34" s="159"/>
      <c r="D34" s="164"/>
      <c r="E34" s="162"/>
      <c r="F34" s="165"/>
      <c r="G34" s="165"/>
    </row>
    <row r="35" spans="1:7">
      <c r="A35" s="162">
        <v>13</v>
      </c>
      <c r="B35" s="170">
        <v>43831</v>
      </c>
      <c r="C35" s="171">
        <v>12500</v>
      </c>
      <c r="D35" s="164">
        <f>C35/POWER(1+F4,A35)</f>
        <v>10336.580968685043</v>
      </c>
      <c r="E35" s="164">
        <f t="shared" ref="E35:E46" si="1">C35-D35</f>
        <v>2163.4190313149575</v>
      </c>
      <c r="F35" s="165"/>
      <c r="G35" s="165"/>
    </row>
    <row r="36" spans="1:7">
      <c r="A36" s="162">
        <v>14</v>
      </c>
      <c r="B36" s="170">
        <v>43862</v>
      </c>
      <c r="C36" s="171">
        <v>12500</v>
      </c>
      <c r="D36" s="164">
        <f>C36/POWER(1+F4,A36)</f>
        <v>10186.575554970032</v>
      </c>
      <c r="E36" s="164">
        <f t="shared" si="1"/>
        <v>2313.4244450299684</v>
      </c>
      <c r="F36" s="165"/>
      <c r="G36" s="165"/>
    </row>
    <row r="37" spans="1:7">
      <c r="A37" s="162">
        <v>15</v>
      </c>
      <c r="B37" s="170">
        <v>43891</v>
      </c>
      <c r="C37" s="171">
        <v>12500</v>
      </c>
      <c r="D37" s="164">
        <f>C37/POWER(1+F4,A37)</f>
        <v>10038.747033615462</v>
      </c>
      <c r="E37" s="164">
        <f t="shared" si="1"/>
        <v>2461.252966384538</v>
      </c>
      <c r="F37" s="165"/>
      <c r="G37" s="165"/>
    </row>
    <row r="38" spans="1:7">
      <c r="A38" s="162">
        <v>16</v>
      </c>
      <c r="B38" s="170">
        <v>43922</v>
      </c>
      <c r="C38" s="171">
        <v>12500</v>
      </c>
      <c r="D38" s="164">
        <f>C38/POWER(1+F4,A38)</f>
        <v>9893.0638133591838</v>
      </c>
      <c r="E38" s="164">
        <f t="shared" si="1"/>
        <v>2606.9361866408162</v>
      </c>
      <c r="F38" s="165"/>
      <c r="G38" s="165"/>
    </row>
    <row r="39" spans="1:7">
      <c r="A39" s="162">
        <v>17</v>
      </c>
      <c r="B39" s="170">
        <v>43952</v>
      </c>
      <c r="C39" s="171">
        <v>12500</v>
      </c>
      <c r="D39" s="164">
        <f>C39/POWER(1+F4,A39)</f>
        <v>9749.4947613943423</v>
      </c>
      <c r="E39" s="164">
        <f t="shared" si="1"/>
        <v>2750.5052386056577</v>
      </c>
      <c r="F39" s="165"/>
      <c r="G39" s="165"/>
    </row>
    <row r="40" spans="1:7">
      <c r="A40" s="162">
        <v>18</v>
      </c>
      <c r="B40" s="170">
        <v>43983</v>
      </c>
      <c r="C40" s="171">
        <v>12500</v>
      </c>
      <c r="D40" s="164">
        <f>C40/POWER(1+F4,A40)</f>
        <v>9608.0091967162443</v>
      </c>
      <c r="E40" s="164">
        <f t="shared" si="1"/>
        <v>2891.9908032837557</v>
      </c>
      <c r="F40" s="165"/>
      <c r="G40" s="165"/>
    </row>
    <row r="41" spans="1:7">
      <c r="A41" s="162">
        <v>19</v>
      </c>
      <c r="B41" s="170">
        <v>44013</v>
      </c>
      <c r="C41" s="171">
        <v>12500</v>
      </c>
      <c r="D41" s="164">
        <f>C41/POWER(1+F4,A41)</f>
        <v>9468.57688356576</v>
      </c>
      <c r="E41" s="164">
        <f t="shared" si="1"/>
        <v>3031.42311643424</v>
      </c>
      <c r="F41" s="165"/>
      <c r="G41" s="165"/>
    </row>
    <row r="42" spans="1:7">
      <c r="A42" s="162">
        <v>20</v>
      </c>
      <c r="B42" s="170">
        <v>44044</v>
      </c>
      <c r="C42" s="171">
        <v>12500</v>
      </c>
      <c r="D42" s="164">
        <f>C42/POWER(1+F4,A42)</f>
        <v>9331.1680249678702</v>
      </c>
      <c r="E42" s="164">
        <f t="shared" si="1"/>
        <v>3168.8319750321298</v>
      </c>
      <c r="F42" s="165"/>
      <c r="G42" s="165"/>
    </row>
    <row r="43" spans="1:7">
      <c r="A43" s="162">
        <v>21</v>
      </c>
      <c r="B43" s="170">
        <v>44075</v>
      </c>
      <c r="C43" s="171">
        <v>12500</v>
      </c>
      <c r="D43" s="164">
        <f>C43/POWER(1+F4,A43)</f>
        <v>9195.7532563640088</v>
      </c>
      <c r="E43" s="164">
        <f t="shared" si="1"/>
        <v>3304.2467436359912</v>
      </c>
      <c r="F43" s="165"/>
      <c r="G43" s="165"/>
    </row>
    <row r="44" spans="1:7">
      <c r="A44" s="162">
        <v>22</v>
      </c>
      <c r="B44" s="170">
        <v>44105</v>
      </c>
      <c r="C44" s="171">
        <v>12500</v>
      </c>
      <c r="D44" s="164">
        <f>C44/POWER(1+F4,A44)</f>
        <v>9062.3036393367747</v>
      </c>
      <c r="E44" s="164">
        <f t="shared" si="1"/>
        <v>3437.6963606632253</v>
      </c>
      <c r="F44" s="165"/>
      <c r="G44" s="165"/>
    </row>
    <row r="45" spans="1:7">
      <c r="A45" s="162">
        <v>23</v>
      </c>
      <c r="B45" s="170">
        <v>44136</v>
      </c>
      <c r="C45" s="171">
        <v>12500</v>
      </c>
      <c r="D45" s="164">
        <f>C45/POWER(1+F4,A45)</f>
        <v>8930.7906554257406</v>
      </c>
      <c r="E45" s="164">
        <f t="shared" si="1"/>
        <v>3569.2093445742594</v>
      </c>
      <c r="F45" s="165"/>
      <c r="G45" s="165"/>
    </row>
    <row r="46" spans="1:7">
      <c r="A46" s="162">
        <v>24</v>
      </c>
      <c r="B46" s="170">
        <v>44166</v>
      </c>
      <c r="C46" s="171">
        <v>12500</v>
      </c>
      <c r="D46" s="164">
        <f>C46/POWER(1+F4,A46)</f>
        <v>8801.1862000330111</v>
      </c>
      <c r="E46" s="164">
        <f t="shared" si="1"/>
        <v>3698.8137999669889</v>
      </c>
      <c r="F46" s="165"/>
      <c r="G46" s="165"/>
    </row>
    <row r="47" spans="1:7">
      <c r="A47" s="165"/>
      <c r="B47" s="167"/>
      <c r="C47" s="174">
        <f>SUM(C35:C46)</f>
        <v>150000</v>
      </c>
      <c r="D47" s="175">
        <f>SUM(D35:D46)</f>
        <v>114602.24998843348</v>
      </c>
      <c r="E47" s="175">
        <f>SUM(E35:E46)</f>
        <v>35397.750011566532</v>
      </c>
      <c r="F47" s="168">
        <f>F33-D47</f>
        <v>17221.055066191257</v>
      </c>
      <c r="G47" s="165"/>
    </row>
    <row r="48" spans="1:7">
      <c r="A48" s="165"/>
      <c r="B48" s="167"/>
      <c r="C48" s="167"/>
      <c r="D48" s="175"/>
      <c r="E48" s="165"/>
      <c r="F48" s="165"/>
      <c r="G48" s="165"/>
    </row>
    <row r="50" spans="1:6">
      <c r="A50" s="162">
        <v>25</v>
      </c>
      <c r="B50" s="170">
        <v>44197</v>
      </c>
      <c r="C50" s="171">
        <v>12500</v>
      </c>
      <c r="D50" s="164">
        <f>C50/POWER(1+F4,A50)</f>
        <v>8673.4625764171906</v>
      </c>
      <c r="E50" s="164">
        <f t="shared" ref="E50:E51" si="2">C50-D50</f>
        <v>3826.5374235828094</v>
      </c>
    </row>
    <row r="51" spans="1:6">
      <c r="A51" s="162">
        <v>26</v>
      </c>
      <c r="B51" s="170">
        <v>44228</v>
      </c>
      <c r="C51" s="171">
        <v>12500</v>
      </c>
      <c r="D51" s="164">
        <f>C51/POWER(1+F4,A51)</f>
        <v>8547.5924897745444</v>
      </c>
      <c r="E51" s="164">
        <f t="shared" si="2"/>
        <v>3952.4075102254556</v>
      </c>
    </row>
    <row r="52" spans="1:6">
      <c r="D52" s="179">
        <f>SUM(D50:D51)</f>
        <v>17221.055066191737</v>
      </c>
      <c r="E52" s="179">
        <f>SUM(E50:E51)</f>
        <v>7778.944933808265</v>
      </c>
      <c r="F52" s="179">
        <f>F47-D52</f>
        <v>-4.8021320253610611E-10</v>
      </c>
    </row>
    <row r="54" spans="1:6">
      <c r="D54" s="179">
        <f>D52+D47+D33+D19</f>
        <v>268400.29789480835</v>
      </c>
    </row>
  </sheetData>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dimension ref="A2:O99"/>
  <sheetViews>
    <sheetView topLeftCell="A27" zoomScale="150" zoomScaleNormal="150" workbookViewId="0">
      <selection activeCell="A21" sqref="A21:B32"/>
    </sheetView>
  </sheetViews>
  <sheetFormatPr defaultColWidth="10.85546875" defaultRowHeight="15"/>
  <cols>
    <col min="1" max="1" width="10.85546875" style="166"/>
    <col min="2" max="2" width="17.140625" style="166" customWidth="1"/>
    <col min="3" max="16384" width="10.85546875" style="166"/>
  </cols>
  <sheetData>
    <row r="2" spans="1:15" ht="165">
      <c r="B2" s="159" t="s">
        <v>1248</v>
      </c>
      <c r="C2" s="159" t="s">
        <v>1249</v>
      </c>
      <c r="D2" s="160" t="s">
        <v>1250</v>
      </c>
      <c r="E2" s="161" t="s">
        <v>1251</v>
      </c>
      <c r="F2" s="161" t="s">
        <v>1252</v>
      </c>
      <c r="G2" s="162" t="s">
        <v>1253</v>
      </c>
      <c r="H2" s="162" t="s">
        <v>1254</v>
      </c>
    </row>
    <row r="3" spans="1:15">
      <c r="B3" s="178" t="s">
        <v>1284</v>
      </c>
      <c r="C3" s="163" t="s">
        <v>1281</v>
      </c>
      <c r="D3" s="164" t="s">
        <v>1286</v>
      </c>
      <c r="E3" s="177">
        <v>0.17670952862091799</v>
      </c>
      <c r="F3" s="164">
        <f>E3/12</f>
        <v>1.4725794051743166E-2</v>
      </c>
      <c r="G3" s="164">
        <v>23</v>
      </c>
      <c r="H3" s="164">
        <v>10000</v>
      </c>
    </row>
    <row r="4" spans="1:15">
      <c r="B4" s="166" t="s">
        <v>1285</v>
      </c>
      <c r="F4" s="179">
        <f>F3</f>
        <v>1.4725794051743166E-2</v>
      </c>
    </row>
    <row r="6" spans="1:15">
      <c r="A6" s="165"/>
      <c r="C6" s="167" t="s">
        <v>1258</v>
      </c>
      <c r="D6" s="168"/>
      <c r="E6" s="165"/>
      <c r="F6" s="165"/>
      <c r="G6" s="169"/>
    </row>
    <row r="7" spans="1:15">
      <c r="A7" s="165"/>
      <c r="B7" s="167"/>
      <c r="C7" s="167"/>
      <c r="D7" s="168"/>
      <c r="E7" s="165"/>
      <c r="F7" s="165" t="s">
        <v>1259</v>
      </c>
      <c r="G7" s="169">
        <f>-PV(F3,G3,H3)</f>
        <v>193902.44530286654</v>
      </c>
      <c r="K7" s="166" t="s">
        <v>1274</v>
      </c>
    </row>
    <row r="8" spans="1:15" ht="60">
      <c r="A8" s="162" t="s">
        <v>1260</v>
      </c>
      <c r="B8" s="159" t="s">
        <v>1261</v>
      </c>
      <c r="C8" s="159" t="s">
        <v>1262</v>
      </c>
      <c r="D8" s="160" t="s">
        <v>1263</v>
      </c>
      <c r="E8" s="162" t="s">
        <v>1264</v>
      </c>
      <c r="F8" s="165"/>
      <c r="G8" s="165"/>
      <c r="I8" s="180" t="s">
        <v>1260</v>
      </c>
      <c r="J8" s="181" t="s">
        <v>1275</v>
      </c>
      <c r="K8" s="182" t="s">
        <v>1276</v>
      </c>
      <c r="L8" s="182" t="s">
        <v>1277</v>
      </c>
      <c r="M8" s="181" t="s">
        <v>1278</v>
      </c>
      <c r="N8" s="182" t="s">
        <v>1279</v>
      </c>
      <c r="O8" s="182" t="s">
        <v>1280</v>
      </c>
    </row>
    <row r="9" spans="1:15">
      <c r="A9" s="162"/>
      <c r="B9" s="176"/>
      <c r="C9" s="171"/>
      <c r="D9" s="164"/>
      <c r="E9" s="164"/>
      <c r="F9" s="165"/>
      <c r="G9" s="165"/>
      <c r="I9" s="181"/>
      <c r="J9" s="181"/>
      <c r="K9" s="185"/>
      <c r="L9" s="183"/>
      <c r="M9" s="183"/>
      <c r="N9" s="183"/>
      <c r="O9" s="183"/>
    </row>
    <row r="10" spans="1:15">
      <c r="A10" s="162"/>
      <c r="B10" s="170"/>
      <c r="C10" s="171"/>
      <c r="D10" s="164"/>
      <c r="E10" s="164"/>
      <c r="F10" s="165"/>
      <c r="G10" s="165"/>
      <c r="I10" s="181"/>
      <c r="J10" s="181">
        <v>2019</v>
      </c>
      <c r="K10" s="185" t="s">
        <v>1287</v>
      </c>
      <c r="L10" s="183">
        <f>G7</f>
        <v>193902.44530286654</v>
      </c>
      <c r="M10" s="183">
        <f>L10/23*12</f>
        <v>101166.49320149558</v>
      </c>
      <c r="N10" s="183">
        <f>M9+M10</f>
        <v>101166.49320149558</v>
      </c>
      <c r="O10" s="183">
        <f>L10-N10</f>
        <v>92735.95210137096</v>
      </c>
    </row>
    <row r="11" spans="1:15">
      <c r="A11" s="162"/>
      <c r="B11" s="170"/>
      <c r="C11" s="171"/>
      <c r="D11" s="164"/>
      <c r="E11" s="164"/>
      <c r="F11" s="165"/>
      <c r="G11" s="165"/>
      <c r="I11" s="181"/>
      <c r="J11" s="181">
        <v>2020</v>
      </c>
      <c r="K11" s="185" t="s">
        <v>1288</v>
      </c>
      <c r="L11" s="183">
        <f>G7</f>
        <v>193902.44530286654</v>
      </c>
      <c r="M11" s="183">
        <f>L11/23*11</f>
        <v>92735.95210137096</v>
      </c>
      <c r="N11" s="183">
        <f>N10+M11</f>
        <v>193902.44530286654</v>
      </c>
      <c r="O11" s="183">
        <f>L11-N11</f>
        <v>0</v>
      </c>
    </row>
    <row r="12" spans="1:15">
      <c r="A12" s="162"/>
      <c r="B12" s="170"/>
      <c r="C12" s="171"/>
      <c r="D12" s="164"/>
      <c r="E12" s="164"/>
      <c r="F12" s="165"/>
      <c r="G12" s="165"/>
      <c r="I12" s="181"/>
      <c r="J12" s="181"/>
      <c r="K12" s="185"/>
      <c r="L12" s="183"/>
      <c r="M12" s="183"/>
      <c r="N12" s="183"/>
      <c r="O12" s="183"/>
    </row>
    <row r="13" spans="1:15">
      <c r="A13" s="162"/>
      <c r="B13" s="170"/>
      <c r="C13" s="171"/>
      <c r="D13" s="164"/>
      <c r="E13" s="164"/>
      <c r="F13" s="165"/>
      <c r="G13" s="165"/>
      <c r="M13" s="184">
        <f>SUM(M9:M12)</f>
        <v>193902.44530286654</v>
      </c>
    </row>
    <row r="14" spans="1:15">
      <c r="A14" s="162"/>
      <c r="B14" s="170"/>
      <c r="C14" s="171"/>
      <c r="D14" s="164"/>
      <c r="E14" s="164"/>
      <c r="F14" s="165"/>
      <c r="G14" s="165"/>
    </row>
    <row r="15" spans="1:15">
      <c r="A15" s="162"/>
      <c r="B15" s="170"/>
      <c r="C15" s="171"/>
      <c r="D15" s="164"/>
      <c r="E15" s="164"/>
      <c r="F15" s="165"/>
      <c r="G15" s="165"/>
    </row>
    <row r="16" spans="1:15">
      <c r="A16" s="162"/>
      <c r="B16" s="170"/>
      <c r="C16" s="171"/>
      <c r="D16" s="164"/>
      <c r="E16" s="164"/>
      <c r="F16" s="165"/>
      <c r="G16" s="165"/>
    </row>
    <row r="17" spans="1:7">
      <c r="A17" s="162"/>
      <c r="B17" s="170"/>
      <c r="C17" s="171"/>
      <c r="D17" s="164"/>
      <c r="E17" s="164"/>
      <c r="F17" s="165"/>
      <c r="G17" s="165"/>
    </row>
    <row r="18" spans="1:7">
      <c r="A18" s="162"/>
      <c r="B18" s="170"/>
      <c r="C18" s="171"/>
      <c r="D18" s="164"/>
      <c r="E18" s="164"/>
      <c r="F18" s="165"/>
      <c r="G18" s="165"/>
    </row>
    <row r="19" spans="1:7">
      <c r="A19" s="162"/>
      <c r="B19" s="159"/>
      <c r="C19" s="172"/>
      <c r="D19" s="173"/>
      <c r="E19" s="173"/>
      <c r="F19" s="165"/>
      <c r="G19" s="165"/>
    </row>
    <row r="20" spans="1:7">
      <c r="A20" s="162"/>
      <c r="B20" s="159"/>
      <c r="C20" s="159"/>
      <c r="D20" s="164"/>
      <c r="E20" s="162"/>
      <c r="F20" s="165"/>
      <c r="G20" s="165"/>
    </row>
    <row r="21" spans="1:7">
      <c r="A21" s="162">
        <v>1</v>
      </c>
      <c r="B21" s="170">
        <v>43466</v>
      </c>
      <c r="C21" s="171">
        <v>10000</v>
      </c>
      <c r="D21" s="164">
        <f>C21/POWER(1+F4,A21)</f>
        <v>9854.8790802592703</v>
      </c>
      <c r="E21" s="164">
        <f t="shared" ref="E21:E32" si="0">C21-D21</f>
        <v>145.12091974072973</v>
      </c>
      <c r="F21" s="165"/>
      <c r="G21" s="165"/>
    </row>
    <row r="22" spans="1:7">
      <c r="A22" s="162">
        <v>2</v>
      </c>
      <c r="B22" s="170">
        <v>43497</v>
      </c>
      <c r="C22" s="171">
        <v>10000</v>
      </c>
      <c r="D22" s="164">
        <f>C22/POWER(1+F4,A22)</f>
        <v>9711.8641686531791</v>
      </c>
      <c r="E22" s="164">
        <f t="shared" si="0"/>
        <v>288.13583134682085</v>
      </c>
      <c r="F22" s="165"/>
      <c r="G22" s="165"/>
    </row>
    <row r="23" spans="1:7">
      <c r="A23" s="162">
        <v>3</v>
      </c>
      <c r="B23" s="170">
        <v>43525</v>
      </c>
      <c r="C23" s="171">
        <v>10000</v>
      </c>
      <c r="D23" s="164">
        <f>C23/POWER(1+F4,A23)</f>
        <v>9570.9247025979821</v>
      </c>
      <c r="E23" s="164">
        <f t="shared" si="0"/>
        <v>429.0752974020179</v>
      </c>
      <c r="F23" s="165"/>
      <c r="G23" s="165"/>
    </row>
    <row r="24" spans="1:7">
      <c r="A24" s="162">
        <v>4</v>
      </c>
      <c r="B24" s="170">
        <v>43556</v>
      </c>
      <c r="C24" s="171">
        <v>10000</v>
      </c>
      <c r="D24" s="164">
        <f>C24/POWER(1+F4,A24)</f>
        <v>9432.0305630369512</v>
      </c>
      <c r="E24" s="164">
        <f t="shared" si="0"/>
        <v>567.96943696304879</v>
      </c>
      <c r="F24" s="165"/>
      <c r="G24" s="165"/>
    </row>
    <row r="25" spans="1:7">
      <c r="A25" s="162">
        <v>5</v>
      </c>
      <c r="B25" s="170">
        <v>43586</v>
      </c>
      <c r="C25" s="171">
        <v>10000</v>
      </c>
      <c r="D25" s="164">
        <f>C25/POWER(1+F4,A25)</f>
        <v>9295.1520680038921</v>
      </c>
      <c r="E25" s="164">
        <f t="shared" si="0"/>
        <v>704.84793199610795</v>
      </c>
      <c r="F25" s="165"/>
      <c r="G25" s="165"/>
    </row>
    <row r="26" spans="1:7">
      <c r="A26" s="162">
        <v>6</v>
      </c>
      <c r="B26" s="170">
        <v>43617</v>
      </c>
      <c r="C26" s="171">
        <v>10000</v>
      </c>
      <c r="D26" s="164">
        <f>C26/POWER(1+F4,A26)</f>
        <v>9160.2599662800258</v>
      </c>
      <c r="E26" s="164">
        <f t="shared" si="0"/>
        <v>839.74003371997424</v>
      </c>
      <c r="F26" s="165"/>
      <c r="G26" s="165"/>
    </row>
    <row r="27" spans="1:7">
      <c r="A27" s="162">
        <v>7</v>
      </c>
      <c r="B27" s="170">
        <v>43647</v>
      </c>
      <c r="C27" s="171">
        <v>10000</v>
      </c>
      <c r="D27" s="164">
        <f>C27/POWER(1+F4,A27)</f>
        <v>9027.32543114295</v>
      </c>
      <c r="E27" s="164">
        <f t="shared" si="0"/>
        <v>972.67456885704996</v>
      </c>
      <c r="F27" s="165"/>
      <c r="G27" s="165"/>
    </row>
    <row r="28" spans="1:7">
      <c r="A28" s="162">
        <v>8</v>
      </c>
      <c r="B28" s="170">
        <v>43678</v>
      </c>
      <c r="C28" s="171">
        <v>10000</v>
      </c>
      <c r="D28" s="164">
        <f>C28/POWER(1+F4,A28)</f>
        <v>8896.320054206315</v>
      </c>
      <c r="E28" s="164">
        <f t="shared" si="0"/>
        <v>1103.679945793685</v>
      </c>
      <c r="F28" s="165"/>
      <c r="G28" s="165"/>
    </row>
    <row r="29" spans="1:7">
      <c r="A29" s="162">
        <v>9</v>
      </c>
      <c r="B29" s="170">
        <v>43709</v>
      </c>
      <c r="C29" s="171">
        <v>10000</v>
      </c>
      <c r="D29" s="164">
        <f>C29/POWER(1+F4,A29)</f>
        <v>8767.2158393488844</v>
      </c>
      <c r="E29" s="164">
        <f t="shared" si="0"/>
        <v>1232.7841606511156</v>
      </c>
      <c r="F29" s="165"/>
      <c r="G29" s="165"/>
    </row>
    <row r="30" spans="1:7">
      <c r="A30" s="162">
        <v>10</v>
      </c>
      <c r="B30" s="170">
        <v>43739</v>
      </c>
      <c r="C30" s="171">
        <v>10000</v>
      </c>
      <c r="D30" s="164">
        <f>C30/POWER(1+F4,A30)</f>
        <v>8639.9851967317027</v>
      </c>
      <c r="E30" s="164">
        <f t="shared" si="0"/>
        <v>1360.0148032682973</v>
      </c>
      <c r="F30" s="165"/>
      <c r="G30" s="165"/>
    </row>
    <row r="31" spans="1:7">
      <c r="A31" s="162">
        <v>11</v>
      </c>
      <c r="B31" s="170">
        <v>43770</v>
      </c>
      <c r="C31" s="171">
        <v>10000</v>
      </c>
      <c r="D31" s="164">
        <f>C31/POWER(1+F4,A31)</f>
        <v>8514.6009369021031</v>
      </c>
      <c r="E31" s="164">
        <f t="shared" si="0"/>
        <v>1485.3990630978969</v>
      </c>
      <c r="F31" s="165"/>
      <c r="G31" s="165"/>
    </row>
    <row r="32" spans="1:7">
      <c r="A32" s="162">
        <v>12</v>
      </c>
      <c r="B32" s="170">
        <v>43800</v>
      </c>
      <c r="C32" s="171">
        <v>10000</v>
      </c>
      <c r="D32" s="164">
        <f>C32/POWER(1+F4,A32)</f>
        <v>8391.0362649832514</v>
      </c>
      <c r="E32" s="164">
        <f t="shared" si="0"/>
        <v>1608.9637350167486</v>
      </c>
      <c r="F32" s="165"/>
      <c r="G32" s="165"/>
    </row>
    <row r="33" spans="1:7">
      <c r="A33" s="162"/>
      <c r="B33" s="159"/>
      <c r="C33" s="172">
        <f>SUM(C21:C32)</f>
        <v>120000</v>
      </c>
      <c r="D33" s="173">
        <f>SUM(D21:D32)</f>
        <v>109261.59427214651</v>
      </c>
      <c r="E33" s="173">
        <f>SUM(E21:E32)</f>
        <v>10738.405727853493</v>
      </c>
      <c r="F33" s="169">
        <f>G7-D33</f>
        <v>84640.851030720034</v>
      </c>
      <c r="G33" s="168">
        <f>D33+E33</f>
        <v>120000</v>
      </c>
    </row>
    <row r="34" spans="1:7">
      <c r="A34" s="162"/>
      <c r="B34" s="159"/>
      <c r="C34" s="159"/>
      <c r="D34" s="164"/>
      <c r="E34" s="162"/>
      <c r="F34" s="165"/>
      <c r="G34" s="165"/>
    </row>
    <row r="35" spans="1:7">
      <c r="A35" s="162">
        <v>13</v>
      </c>
      <c r="B35" s="170">
        <v>43831</v>
      </c>
      <c r="C35" s="171">
        <v>10000</v>
      </c>
      <c r="D35" s="164">
        <f>C35/POWER(1+F4,A35)</f>
        <v>8269.2647749480329</v>
      </c>
      <c r="E35" s="164">
        <f t="shared" ref="E35:E45" si="1">C35-D35</f>
        <v>1730.7352250519671</v>
      </c>
      <c r="F35" s="165"/>
      <c r="G35" s="165"/>
    </row>
    <row r="36" spans="1:7">
      <c r="A36" s="162">
        <v>14</v>
      </c>
      <c r="B36" s="170">
        <v>43862</v>
      </c>
      <c r="C36" s="171">
        <v>10000</v>
      </c>
      <c r="D36" s="164">
        <f>C36/POWER(1+F4,A36)</f>
        <v>8149.2604439760262</v>
      </c>
      <c r="E36" s="164">
        <f t="shared" si="1"/>
        <v>1850.7395560239738</v>
      </c>
      <c r="F36" s="165"/>
      <c r="G36" s="165"/>
    </row>
    <row r="37" spans="1:7">
      <c r="A37" s="162">
        <v>15</v>
      </c>
      <c r="B37" s="170">
        <v>43891</v>
      </c>
      <c r="C37" s="171">
        <v>10000</v>
      </c>
      <c r="D37" s="164">
        <f>C37/POWER(1+F4,A37)</f>
        <v>8030.9976268923701</v>
      </c>
      <c r="E37" s="164">
        <f t="shared" si="1"/>
        <v>1969.0023731076299</v>
      </c>
      <c r="F37" s="165"/>
      <c r="G37" s="165"/>
    </row>
    <row r="38" spans="1:7">
      <c r="A38" s="162">
        <v>16</v>
      </c>
      <c r="B38" s="170">
        <v>43922</v>
      </c>
      <c r="C38" s="171">
        <v>10000</v>
      </c>
      <c r="D38" s="164">
        <f>C38/POWER(1+F4,A38)</f>
        <v>7914.4510506873467</v>
      </c>
      <c r="E38" s="164">
        <f t="shared" si="1"/>
        <v>2085.5489493126533</v>
      </c>
      <c r="F38" s="165"/>
      <c r="G38" s="165"/>
    </row>
    <row r="39" spans="1:7">
      <c r="A39" s="162">
        <v>17</v>
      </c>
      <c r="B39" s="170">
        <v>43952</v>
      </c>
      <c r="C39" s="171">
        <v>10000</v>
      </c>
      <c r="D39" s="164">
        <f>C39/POWER(1+F4,A39)</f>
        <v>7799.5958091154744</v>
      </c>
      <c r="E39" s="164">
        <f t="shared" si="1"/>
        <v>2200.4041908845256</v>
      </c>
      <c r="F39" s="165"/>
      <c r="G39" s="165"/>
    </row>
    <row r="40" spans="1:7">
      <c r="A40" s="162">
        <v>18</v>
      </c>
      <c r="B40" s="170">
        <v>43983</v>
      </c>
      <c r="C40" s="171">
        <v>10000</v>
      </c>
      <c r="D40" s="164">
        <f>C40/POWER(1+F4,A40)</f>
        <v>7686.4073573729956</v>
      </c>
      <c r="E40" s="164">
        <f t="shared" si="1"/>
        <v>2313.5926426270044</v>
      </c>
      <c r="F40" s="165"/>
      <c r="G40" s="165"/>
    </row>
    <row r="41" spans="1:7">
      <c r="A41" s="162">
        <v>19</v>
      </c>
      <c r="B41" s="170">
        <v>44013</v>
      </c>
      <c r="C41" s="171">
        <v>10000</v>
      </c>
      <c r="D41" s="164">
        <f>C41/POWER(1+F4,A41)</f>
        <v>7574.8615068526078</v>
      </c>
      <c r="E41" s="164">
        <f t="shared" si="1"/>
        <v>2425.1384931473922</v>
      </c>
      <c r="F41" s="165"/>
      <c r="G41" s="165"/>
    </row>
    <row r="42" spans="1:7">
      <c r="A42" s="162">
        <v>20</v>
      </c>
      <c r="B42" s="170">
        <v>44044</v>
      </c>
      <c r="C42" s="171">
        <v>10000</v>
      </c>
      <c r="D42" s="164">
        <f>C42/POWER(1+F4,A42)</f>
        <v>7464.9344199742964</v>
      </c>
      <c r="E42" s="164">
        <f t="shared" si="1"/>
        <v>2535.0655800257036</v>
      </c>
      <c r="F42" s="165"/>
      <c r="G42" s="165"/>
    </row>
    <row r="43" spans="1:7">
      <c r="A43" s="162">
        <v>21</v>
      </c>
      <c r="B43" s="170">
        <v>44075</v>
      </c>
      <c r="C43" s="171">
        <v>10000</v>
      </c>
      <c r="D43" s="164">
        <f>C43/POWER(1+F4,A43)</f>
        <v>7356.6026050912078</v>
      </c>
      <c r="E43" s="164">
        <f t="shared" si="1"/>
        <v>2643.3973949087922</v>
      </c>
      <c r="F43" s="165"/>
      <c r="G43" s="165"/>
    </row>
    <row r="44" spans="1:7">
      <c r="A44" s="162">
        <v>22</v>
      </c>
      <c r="B44" s="170">
        <v>44105</v>
      </c>
      <c r="C44" s="171">
        <v>10000</v>
      </c>
      <c r="D44" s="164">
        <f>C44/POWER(1+F4,A44)</f>
        <v>7249.8429114694191</v>
      </c>
      <c r="E44" s="164">
        <f t="shared" si="1"/>
        <v>2750.1570885305809</v>
      </c>
      <c r="F44" s="165"/>
      <c r="G44" s="165"/>
    </row>
    <row r="45" spans="1:7">
      <c r="A45" s="162">
        <v>23</v>
      </c>
      <c r="B45" s="170">
        <v>44136</v>
      </c>
      <c r="C45" s="171">
        <v>10000</v>
      </c>
      <c r="D45" s="164">
        <f>C45/POWER(1+F4,A45)</f>
        <v>7144.6325243405927</v>
      </c>
      <c r="E45" s="164">
        <f t="shared" si="1"/>
        <v>2855.3674756594073</v>
      </c>
      <c r="F45" s="165"/>
      <c r="G45" s="165"/>
    </row>
    <row r="46" spans="1:7">
      <c r="D46" s="179">
        <f>SUM(D35:D45)</f>
        <v>84640.851030720369</v>
      </c>
      <c r="E46" s="179">
        <f>SUM(E35:E45)</f>
        <v>25359.148969279631</v>
      </c>
      <c r="F46" s="184">
        <f>F33-D46</f>
        <v>-3.3469405025243759E-10</v>
      </c>
    </row>
    <row r="48" spans="1:7">
      <c r="D48" s="179">
        <f>D33+D46</f>
        <v>193902.44530286686</v>
      </c>
    </row>
    <row r="53" spans="1:8">
      <c r="B53" s="159"/>
      <c r="C53" s="159"/>
      <c r="D53" s="160"/>
      <c r="E53" s="161"/>
      <c r="F53" s="161"/>
      <c r="G53" s="162"/>
      <c r="H53" s="162"/>
    </row>
    <row r="54" spans="1:8">
      <c r="B54" s="178"/>
      <c r="C54" s="163"/>
      <c r="D54" s="164"/>
      <c r="E54" s="177"/>
      <c r="F54" s="164"/>
      <c r="G54" s="164"/>
      <c r="H54" s="164"/>
    </row>
    <row r="55" spans="1:8">
      <c r="F55" s="179"/>
    </row>
    <row r="57" spans="1:8">
      <c r="A57" s="165"/>
      <c r="C57" s="167"/>
      <c r="D57" s="168"/>
      <c r="E57" s="165"/>
      <c r="F57" s="165"/>
      <c r="G57" s="169"/>
    </row>
    <row r="58" spans="1:8">
      <c r="A58" s="165"/>
      <c r="B58" s="167"/>
      <c r="C58" s="167"/>
      <c r="D58" s="168"/>
      <c r="E58" s="165"/>
      <c r="F58" s="165"/>
      <c r="G58" s="169"/>
    </row>
    <row r="59" spans="1:8">
      <c r="A59" s="162"/>
      <c r="B59" s="159"/>
      <c r="C59" s="159"/>
      <c r="D59" s="160"/>
      <c r="E59" s="162"/>
      <c r="F59" s="165"/>
      <c r="G59" s="165"/>
    </row>
    <row r="60" spans="1:8">
      <c r="A60" s="162"/>
      <c r="B60" s="176"/>
      <c r="C60" s="171"/>
      <c r="D60" s="164"/>
      <c r="E60" s="164"/>
      <c r="F60" s="165"/>
      <c r="G60" s="165"/>
    </row>
    <row r="61" spans="1:8">
      <c r="A61" s="162"/>
      <c r="B61" s="170"/>
      <c r="C61" s="171"/>
      <c r="D61" s="164"/>
      <c r="E61" s="164"/>
      <c r="F61" s="165"/>
      <c r="G61" s="165"/>
    </row>
    <row r="62" spans="1:8">
      <c r="A62" s="162"/>
      <c r="B62" s="170"/>
      <c r="C62" s="171"/>
      <c r="D62" s="164"/>
      <c r="E62" s="164"/>
      <c r="F62" s="165"/>
      <c r="G62" s="165"/>
    </row>
    <row r="63" spans="1:8">
      <c r="A63" s="162"/>
      <c r="B63" s="170"/>
      <c r="C63" s="171"/>
      <c r="D63" s="164"/>
      <c r="E63" s="164"/>
      <c r="F63" s="165"/>
      <c r="G63" s="165"/>
    </row>
    <row r="64" spans="1:8">
      <c r="A64" s="162"/>
      <c r="B64" s="170"/>
      <c r="C64" s="171"/>
      <c r="D64" s="164"/>
      <c r="E64" s="164"/>
      <c r="F64" s="165"/>
      <c r="G64" s="165"/>
    </row>
    <row r="65" spans="1:7">
      <c r="A65" s="162"/>
      <c r="B65" s="170"/>
      <c r="C65" s="171"/>
      <c r="D65" s="164"/>
      <c r="E65" s="164"/>
      <c r="F65" s="165"/>
      <c r="G65" s="165"/>
    </row>
    <row r="66" spans="1:7">
      <c r="A66" s="162"/>
      <c r="B66" s="170"/>
      <c r="C66" s="171"/>
      <c r="D66" s="164"/>
      <c r="E66" s="164"/>
      <c r="F66" s="165"/>
      <c r="G66" s="165"/>
    </row>
    <row r="67" spans="1:7">
      <c r="A67" s="162"/>
      <c r="B67" s="170"/>
      <c r="C67" s="171"/>
      <c r="D67" s="164"/>
      <c r="E67" s="164"/>
      <c r="F67" s="165"/>
      <c r="G67" s="165"/>
    </row>
    <row r="68" spans="1:7">
      <c r="A68" s="162"/>
      <c r="B68" s="170"/>
      <c r="C68" s="171"/>
      <c r="D68" s="164"/>
      <c r="E68" s="164"/>
      <c r="F68" s="165"/>
      <c r="G68" s="165"/>
    </row>
    <row r="69" spans="1:7">
      <c r="A69" s="162"/>
      <c r="B69" s="170"/>
      <c r="C69" s="171"/>
      <c r="D69" s="164"/>
      <c r="E69" s="164"/>
      <c r="F69" s="165"/>
      <c r="G69" s="165"/>
    </row>
    <row r="70" spans="1:7">
      <c r="A70" s="162"/>
      <c r="B70" s="159"/>
      <c r="C70" s="172"/>
      <c r="D70" s="173"/>
      <c r="E70" s="173"/>
      <c r="F70" s="165"/>
      <c r="G70" s="165"/>
    </row>
    <row r="71" spans="1:7">
      <c r="A71" s="162"/>
      <c r="B71" s="159"/>
      <c r="C71" s="159"/>
      <c r="D71" s="164"/>
      <c r="E71" s="162"/>
      <c r="F71" s="165"/>
      <c r="G71" s="165"/>
    </row>
    <row r="72" spans="1:7">
      <c r="A72" s="162"/>
      <c r="B72" s="170"/>
      <c r="C72" s="171"/>
      <c r="D72" s="164"/>
      <c r="E72" s="164"/>
      <c r="F72" s="165"/>
      <c r="G72" s="165"/>
    </row>
    <row r="73" spans="1:7">
      <c r="A73" s="162"/>
      <c r="B73" s="170"/>
      <c r="C73" s="171"/>
      <c r="D73" s="164"/>
      <c r="E73" s="164"/>
      <c r="F73" s="165"/>
      <c r="G73" s="165"/>
    </row>
    <row r="74" spans="1:7">
      <c r="A74" s="162"/>
      <c r="B74" s="170"/>
      <c r="C74" s="171"/>
      <c r="D74" s="164"/>
      <c r="E74" s="164"/>
      <c r="F74" s="165"/>
      <c r="G74" s="165"/>
    </row>
    <row r="75" spans="1:7">
      <c r="A75" s="162"/>
      <c r="B75" s="170"/>
      <c r="C75" s="171"/>
      <c r="D75" s="164"/>
      <c r="E75" s="164"/>
      <c r="F75" s="165"/>
      <c r="G75" s="165"/>
    </row>
    <row r="76" spans="1:7">
      <c r="A76" s="162"/>
      <c r="B76" s="170"/>
      <c r="C76" s="171"/>
      <c r="D76" s="164"/>
      <c r="E76" s="164"/>
      <c r="F76" s="165"/>
      <c r="G76" s="165"/>
    </row>
    <row r="77" spans="1:7">
      <c r="A77" s="162"/>
      <c r="B77" s="170"/>
      <c r="C77" s="171"/>
      <c r="D77" s="164"/>
      <c r="E77" s="164"/>
      <c r="F77" s="165"/>
      <c r="G77" s="165"/>
    </row>
    <row r="78" spans="1:7">
      <c r="A78" s="162"/>
      <c r="B78" s="170"/>
      <c r="C78" s="171"/>
      <c r="D78" s="164"/>
      <c r="E78" s="164"/>
      <c r="F78" s="165"/>
      <c r="G78" s="165"/>
    </row>
    <row r="79" spans="1:7">
      <c r="A79" s="162"/>
      <c r="B79" s="170"/>
      <c r="C79" s="171"/>
      <c r="D79" s="164"/>
      <c r="E79" s="164"/>
      <c r="F79" s="165"/>
      <c r="G79" s="165"/>
    </row>
    <row r="80" spans="1:7">
      <c r="A80" s="162"/>
      <c r="B80" s="170"/>
      <c r="C80" s="171"/>
      <c r="D80" s="164"/>
      <c r="E80" s="164"/>
      <c r="F80" s="165"/>
      <c r="G80" s="165"/>
    </row>
    <row r="81" spans="1:7">
      <c r="A81" s="162"/>
      <c r="B81" s="170"/>
      <c r="C81" s="171"/>
      <c r="D81" s="164"/>
      <c r="E81" s="164"/>
      <c r="F81" s="165"/>
      <c r="G81" s="165"/>
    </row>
    <row r="82" spans="1:7">
      <c r="A82" s="162"/>
      <c r="B82" s="170"/>
      <c r="C82" s="171"/>
      <c r="D82" s="164"/>
      <c r="E82" s="164"/>
      <c r="F82" s="165"/>
      <c r="G82" s="165"/>
    </row>
    <row r="83" spans="1:7">
      <c r="A83" s="162"/>
      <c r="B83" s="170"/>
      <c r="C83" s="171"/>
      <c r="D83" s="164"/>
      <c r="E83" s="164"/>
      <c r="F83" s="165"/>
      <c r="G83" s="165"/>
    </row>
    <row r="84" spans="1:7">
      <c r="A84" s="162"/>
      <c r="B84" s="159"/>
      <c r="C84" s="172"/>
      <c r="D84" s="173"/>
      <c r="E84" s="173"/>
      <c r="F84" s="165"/>
      <c r="G84" s="168"/>
    </row>
    <row r="85" spans="1:7">
      <c r="A85" s="162"/>
      <c r="B85" s="159"/>
      <c r="C85" s="159"/>
      <c r="D85" s="164"/>
      <c r="E85" s="162"/>
      <c r="F85" s="165"/>
      <c r="G85" s="165"/>
    </row>
    <row r="86" spans="1:7">
      <c r="A86" s="162"/>
      <c r="B86" s="170"/>
      <c r="C86" s="171"/>
      <c r="D86" s="164"/>
      <c r="E86" s="164"/>
      <c r="F86" s="165"/>
      <c r="G86" s="165"/>
    </row>
    <row r="87" spans="1:7">
      <c r="A87" s="162"/>
      <c r="B87" s="170"/>
      <c r="C87" s="171"/>
      <c r="D87" s="164"/>
      <c r="E87" s="164"/>
      <c r="F87" s="165"/>
      <c r="G87" s="165"/>
    </row>
    <row r="88" spans="1:7">
      <c r="A88" s="162"/>
      <c r="B88" s="170"/>
      <c r="C88" s="171"/>
      <c r="D88" s="164"/>
      <c r="E88" s="164"/>
      <c r="F88" s="165"/>
      <c r="G88" s="165"/>
    </row>
    <row r="89" spans="1:7">
      <c r="A89" s="162"/>
      <c r="B89" s="170"/>
      <c r="C89" s="171"/>
      <c r="D89" s="164"/>
      <c r="E89" s="164"/>
      <c r="F89" s="165"/>
      <c r="G89" s="165"/>
    </row>
    <row r="90" spans="1:7">
      <c r="A90" s="162"/>
      <c r="B90" s="170"/>
      <c r="C90" s="171"/>
      <c r="D90" s="164"/>
      <c r="E90" s="164"/>
      <c r="F90" s="165"/>
      <c r="G90" s="165"/>
    </row>
    <row r="91" spans="1:7">
      <c r="A91" s="162"/>
      <c r="B91" s="170"/>
      <c r="C91" s="171"/>
      <c r="D91" s="164"/>
      <c r="E91" s="164"/>
      <c r="F91" s="165"/>
      <c r="G91" s="165"/>
    </row>
    <row r="92" spans="1:7">
      <c r="A92" s="162"/>
      <c r="B92" s="170"/>
      <c r="C92" s="171"/>
      <c r="D92" s="164"/>
      <c r="E92" s="164"/>
      <c r="F92" s="165"/>
      <c r="G92" s="165"/>
    </row>
    <row r="93" spans="1:7">
      <c r="A93" s="162"/>
      <c r="B93" s="170"/>
      <c r="C93" s="171"/>
      <c r="D93" s="164"/>
      <c r="E93" s="164"/>
      <c r="F93" s="165"/>
      <c r="G93" s="165"/>
    </row>
    <row r="94" spans="1:7">
      <c r="A94" s="162"/>
      <c r="B94" s="170"/>
      <c r="C94" s="171"/>
      <c r="D94" s="164"/>
      <c r="E94" s="164"/>
      <c r="F94" s="165"/>
      <c r="G94" s="165"/>
    </row>
    <row r="95" spans="1:7">
      <c r="A95" s="162"/>
      <c r="B95" s="170"/>
      <c r="C95" s="171"/>
      <c r="D95" s="164"/>
      <c r="E95" s="164"/>
      <c r="F95" s="165"/>
      <c r="G95" s="165"/>
    </row>
    <row r="96" spans="1:7">
      <c r="A96" s="162"/>
      <c r="B96" s="170"/>
      <c r="C96" s="171"/>
      <c r="D96" s="164"/>
      <c r="E96" s="164"/>
      <c r="F96" s="165"/>
      <c r="G96" s="165"/>
    </row>
    <row r="97" spans="4:5">
      <c r="D97" s="179"/>
      <c r="E97" s="179"/>
    </row>
    <row r="99" spans="4:5">
      <c r="D99" s="179"/>
    </row>
  </sheetData>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dimension ref="A2:O68"/>
  <sheetViews>
    <sheetView topLeftCell="A34" zoomScale="120" zoomScaleNormal="120" workbookViewId="0">
      <selection activeCell="F8" sqref="F8"/>
    </sheetView>
  </sheetViews>
  <sheetFormatPr defaultColWidth="10.85546875" defaultRowHeight="15"/>
  <cols>
    <col min="1" max="1" width="5.28515625" style="167" customWidth="1"/>
    <col min="2" max="2" width="11.7109375" style="166" customWidth="1"/>
    <col min="3" max="3" width="10.85546875" style="166"/>
    <col min="4" max="4" width="11.85546875" style="166" customWidth="1"/>
    <col min="5" max="16384" width="10.85546875" style="166"/>
  </cols>
  <sheetData>
    <row r="2" spans="1:15" ht="165">
      <c r="B2" s="159" t="s">
        <v>1248</v>
      </c>
      <c r="C2" s="159" t="s">
        <v>1249</v>
      </c>
      <c r="D2" s="160" t="s">
        <v>1250</v>
      </c>
      <c r="E2" s="161" t="s">
        <v>1251</v>
      </c>
      <c r="F2" s="161" t="s">
        <v>1252</v>
      </c>
      <c r="G2" s="162" t="s">
        <v>1253</v>
      </c>
      <c r="H2" s="162" t="s">
        <v>1254</v>
      </c>
    </row>
    <row r="3" spans="1:15">
      <c r="B3" s="178" t="s">
        <v>1289</v>
      </c>
      <c r="C3" s="163" t="s">
        <v>1298</v>
      </c>
      <c r="D3" s="166" t="s">
        <v>1306</v>
      </c>
      <c r="E3" s="177">
        <v>0.17670952862091799</v>
      </c>
      <c r="F3" s="164">
        <f>E3/12</f>
        <v>1.4725794051743166E-2</v>
      </c>
      <c r="G3" s="164">
        <v>40</v>
      </c>
      <c r="H3" s="164">
        <v>15000</v>
      </c>
    </row>
    <row r="4" spans="1:15">
      <c r="F4" s="179">
        <f>F3</f>
        <v>1.4725794051743166E-2</v>
      </c>
    </row>
    <row r="6" spans="1:15">
      <c r="C6" s="167" t="s">
        <v>1258</v>
      </c>
      <c r="D6" s="168"/>
      <c r="E6" s="165"/>
      <c r="F6" s="165"/>
      <c r="G6" s="169"/>
    </row>
    <row r="7" spans="1:15">
      <c r="B7" s="167"/>
      <c r="C7" s="167"/>
      <c r="D7" s="168"/>
      <c r="E7" s="165"/>
      <c r="F7" s="165" t="s">
        <v>1259</v>
      </c>
      <c r="G7" s="169">
        <f>-PV(F3,G3,H3)</f>
        <v>450991.85093087028</v>
      </c>
      <c r="K7" s="166" t="s">
        <v>1274</v>
      </c>
    </row>
    <row r="8" spans="1:15" ht="60">
      <c r="A8" s="159" t="s">
        <v>1260</v>
      </c>
      <c r="B8" s="159" t="s">
        <v>1261</v>
      </c>
      <c r="C8" s="159" t="s">
        <v>1262</v>
      </c>
      <c r="D8" s="160" t="s">
        <v>1263</v>
      </c>
      <c r="E8" s="162" t="s">
        <v>1264</v>
      </c>
      <c r="F8" s="165"/>
      <c r="G8" s="165"/>
      <c r="I8" s="180" t="s">
        <v>1260</v>
      </c>
      <c r="J8" s="181" t="s">
        <v>1275</v>
      </c>
      <c r="K8" s="182" t="s">
        <v>1276</v>
      </c>
      <c r="L8" s="182" t="s">
        <v>1277</v>
      </c>
      <c r="M8" s="181" t="s">
        <v>1278</v>
      </c>
      <c r="N8" s="182" t="s">
        <v>1279</v>
      </c>
      <c r="O8" s="182" t="s">
        <v>1280</v>
      </c>
    </row>
    <row r="9" spans="1:15">
      <c r="A9" s="159"/>
      <c r="B9" s="170"/>
      <c r="C9" s="171"/>
      <c r="D9" s="164"/>
      <c r="E9" s="164"/>
      <c r="F9" s="165"/>
      <c r="G9" s="165"/>
      <c r="I9" s="181"/>
      <c r="J9" s="181"/>
      <c r="K9" s="185"/>
      <c r="L9" s="183"/>
      <c r="M9" s="183"/>
      <c r="N9" s="183"/>
      <c r="O9" s="183"/>
    </row>
    <row r="10" spans="1:15">
      <c r="A10" s="159"/>
      <c r="B10" s="170"/>
      <c r="C10" s="171"/>
      <c r="D10" s="164"/>
      <c r="E10" s="164"/>
      <c r="F10" s="165"/>
      <c r="G10" s="165"/>
      <c r="I10" s="181"/>
      <c r="J10" s="181">
        <v>2019</v>
      </c>
      <c r="K10" s="185" t="s">
        <v>1346</v>
      </c>
      <c r="L10" s="183">
        <f>G7</f>
        <v>450991.85093087028</v>
      </c>
      <c r="M10" s="183">
        <f>L10*3/40</f>
        <v>33824.388819815271</v>
      </c>
      <c r="N10" s="183">
        <f>M10</f>
        <v>33824.388819815271</v>
      </c>
      <c r="O10" s="183">
        <f>L10-N10</f>
        <v>417167.46211105504</v>
      </c>
    </row>
    <row r="11" spans="1:15">
      <c r="A11" s="159"/>
      <c r="B11" s="170"/>
      <c r="C11" s="171"/>
      <c r="D11" s="164"/>
      <c r="E11" s="164"/>
      <c r="F11" s="165"/>
      <c r="G11" s="165"/>
      <c r="I11" s="181"/>
      <c r="J11" s="181">
        <v>2020</v>
      </c>
      <c r="K11" s="185" t="s">
        <v>1343</v>
      </c>
      <c r="L11" s="183">
        <f>G7</f>
        <v>450991.85093087028</v>
      </c>
      <c r="M11" s="183">
        <f>L11*12/40</f>
        <v>135297.55527926108</v>
      </c>
      <c r="N11" s="183">
        <f>N10+M11</f>
        <v>169121.94409907635</v>
      </c>
      <c r="O11" s="183">
        <f>L11-N11</f>
        <v>281869.90683179395</v>
      </c>
    </row>
    <row r="12" spans="1:15">
      <c r="A12" s="159"/>
      <c r="B12" s="170"/>
      <c r="C12" s="171"/>
      <c r="D12" s="164"/>
      <c r="E12" s="164"/>
      <c r="F12" s="165"/>
      <c r="G12" s="165"/>
      <c r="I12" s="181"/>
      <c r="J12" s="181">
        <v>2021</v>
      </c>
      <c r="K12" s="185" t="s">
        <v>1344</v>
      </c>
      <c r="L12" s="183">
        <f>G7</f>
        <v>450991.85093087028</v>
      </c>
      <c r="M12" s="183">
        <f>M11</f>
        <v>135297.55527926108</v>
      </c>
      <c r="N12" s="183">
        <f>N11+M12</f>
        <v>304419.49937833741</v>
      </c>
      <c r="O12" s="183">
        <f>L12-N12</f>
        <v>146572.35155253287</v>
      </c>
    </row>
    <row r="13" spans="1:15">
      <c r="A13" s="159"/>
      <c r="B13" s="170"/>
      <c r="C13" s="171"/>
      <c r="D13" s="164"/>
      <c r="E13" s="164"/>
      <c r="F13" s="165"/>
      <c r="G13" s="165"/>
      <c r="I13" s="181"/>
      <c r="J13" s="181">
        <v>2022</v>
      </c>
      <c r="K13" s="181" t="s">
        <v>1345</v>
      </c>
      <c r="L13" s="183">
        <f>G7</f>
        <v>450991.85093087028</v>
      </c>
      <c r="M13" s="183">
        <f>M12</f>
        <v>135297.55527926108</v>
      </c>
      <c r="N13" s="183">
        <f>N12+M13</f>
        <v>439717.05465759849</v>
      </c>
      <c r="O13" s="183">
        <f>L13-N13</f>
        <v>11274.796273271786</v>
      </c>
    </row>
    <row r="14" spans="1:15">
      <c r="A14" s="159"/>
      <c r="B14" s="170"/>
      <c r="C14" s="171"/>
      <c r="D14" s="164"/>
      <c r="E14" s="164"/>
      <c r="F14" s="165"/>
      <c r="G14" s="165"/>
      <c r="I14" s="181"/>
      <c r="J14" s="181">
        <v>2023</v>
      </c>
      <c r="K14" s="185" t="s">
        <v>1307</v>
      </c>
      <c r="L14" s="183">
        <f>G7</f>
        <v>450991.85093087028</v>
      </c>
      <c r="M14" s="183">
        <f>L14*1/40</f>
        <v>11274.796273271757</v>
      </c>
      <c r="N14" s="183">
        <f>N13+M14</f>
        <v>450991.85093087028</v>
      </c>
      <c r="O14" s="183">
        <f>L14-N14</f>
        <v>0</v>
      </c>
    </row>
    <row r="15" spans="1:15">
      <c r="A15" s="159"/>
      <c r="B15" s="170"/>
      <c r="C15" s="171"/>
      <c r="D15" s="164"/>
      <c r="E15" s="164"/>
      <c r="F15" s="165"/>
      <c r="G15" s="165"/>
    </row>
    <row r="16" spans="1:15">
      <c r="A16" s="159"/>
      <c r="B16" s="170"/>
      <c r="C16" s="171"/>
      <c r="D16" s="164"/>
      <c r="E16" s="164"/>
      <c r="F16" s="165"/>
      <c r="G16" s="165"/>
    </row>
    <row r="17" spans="1:7">
      <c r="A17" s="159"/>
      <c r="B17" s="170"/>
      <c r="C17" s="171"/>
      <c r="D17" s="164"/>
      <c r="E17" s="164"/>
      <c r="F17" s="165"/>
      <c r="G17" s="165"/>
    </row>
    <row r="18" spans="1:7">
      <c r="A18" s="159">
        <v>1</v>
      </c>
      <c r="B18" s="170">
        <v>43739</v>
      </c>
      <c r="C18" s="171">
        <v>15000</v>
      </c>
      <c r="D18" s="164">
        <f>C18/POWER(1+F4,A18)</f>
        <v>14782.318620388905</v>
      </c>
      <c r="E18" s="164">
        <f t="shared" ref="E18:E20" si="0">C18-D18</f>
        <v>217.6813796110946</v>
      </c>
      <c r="F18" s="165"/>
      <c r="G18" s="165"/>
    </row>
    <row r="19" spans="1:7">
      <c r="A19" s="159">
        <v>2</v>
      </c>
      <c r="B19" s="170">
        <v>43770</v>
      </c>
      <c r="C19" s="171">
        <v>15000</v>
      </c>
      <c r="D19" s="164">
        <f>C19/POWER(1+F4,A19)</f>
        <v>14567.79625297977</v>
      </c>
      <c r="E19" s="164">
        <f t="shared" si="0"/>
        <v>432.20374702023037</v>
      </c>
      <c r="F19" s="165"/>
      <c r="G19" s="165"/>
    </row>
    <row r="20" spans="1:7">
      <c r="A20" s="159">
        <v>3</v>
      </c>
      <c r="B20" s="170">
        <v>43800</v>
      </c>
      <c r="C20" s="171">
        <v>15000</v>
      </c>
      <c r="D20" s="164">
        <f>C20/POWER(1+F4,A20)</f>
        <v>14356.387053896971</v>
      </c>
      <c r="E20" s="164">
        <f t="shared" si="0"/>
        <v>643.61294610302866</v>
      </c>
      <c r="F20" s="165"/>
      <c r="G20" s="165"/>
    </row>
    <row r="21" spans="1:7">
      <c r="A21" s="159"/>
      <c r="B21" s="159"/>
      <c r="C21" s="172">
        <f>SUM(C9:C20)</f>
        <v>45000</v>
      </c>
      <c r="D21" s="173">
        <f>SUM(D9:D20)</f>
        <v>43706.50192726565</v>
      </c>
      <c r="E21" s="173">
        <f>SUM(E9:E20)</f>
        <v>1293.4980727343536</v>
      </c>
      <c r="F21" s="169">
        <f>G7-D21</f>
        <v>407285.34900360461</v>
      </c>
      <c r="G21" s="168">
        <f>D21+E21</f>
        <v>45000</v>
      </c>
    </row>
    <row r="22" spans="1:7">
      <c r="A22" s="159"/>
      <c r="B22" s="159"/>
      <c r="C22" s="171"/>
      <c r="D22" s="164"/>
      <c r="E22" s="162"/>
      <c r="F22" s="165"/>
      <c r="G22" s="165"/>
    </row>
    <row r="23" spans="1:7">
      <c r="A23" s="159">
        <v>4</v>
      </c>
      <c r="B23" s="170">
        <v>43831</v>
      </c>
      <c r="C23" s="171">
        <v>15000</v>
      </c>
      <c r="D23" s="164">
        <f>C23/POWER(1+F4,A23)</f>
        <v>14148.045844555427</v>
      </c>
      <c r="E23" s="164">
        <f t="shared" ref="E23:E34" si="1">C23-D23</f>
        <v>851.95415544457319</v>
      </c>
      <c r="F23" s="165"/>
      <c r="G23" s="165"/>
    </row>
    <row r="24" spans="1:7">
      <c r="A24" s="159">
        <v>5</v>
      </c>
      <c r="B24" s="170">
        <v>43862</v>
      </c>
      <c r="C24" s="171">
        <v>15000</v>
      </c>
      <c r="D24" s="164">
        <f>C24/POWER(1+F4,A24)</f>
        <v>13942.728102005838</v>
      </c>
      <c r="E24" s="164">
        <f t="shared" si="1"/>
        <v>1057.2718979941619</v>
      </c>
      <c r="F24" s="165"/>
      <c r="G24" s="165"/>
    </row>
    <row r="25" spans="1:7">
      <c r="A25" s="159">
        <v>6</v>
      </c>
      <c r="B25" s="170">
        <v>43891</v>
      </c>
      <c r="C25" s="171">
        <v>15000</v>
      </c>
      <c r="D25" s="164">
        <f>C25/POWER(1+F4,A25)</f>
        <v>13740.389949420038</v>
      </c>
      <c r="E25" s="164">
        <f t="shared" si="1"/>
        <v>1259.6100505799623</v>
      </c>
      <c r="F25" s="165"/>
      <c r="G25" s="165"/>
    </row>
    <row r="26" spans="1:7">
      <c r="A26" s="159">
        <v>7</v>
      </c>
      <c r="B26" s="170">
        <v>43922</v>
      </c>
      <c r="C26" s="171">
        <v>15000</v>
      </c>
      <c r="D26" s="164">
        <f>C26/POWER(1+F4,A26)</f>
        <v>13540.988146714424</v>
      </c>
      <c r="E26" s="164">
        <f t="shared" si="1"/>
        <v>1459.0118532855759</v>
      </c>
      <c r="F26" s="165"/>
      <c r="G26" s="165"/>
    </row>
    <row r="27" spans="1:7">
      <c r="A27" s="159">
        <v>8</v>
      </c>
      <c r="B27" s="170">
        <v>43952</v>
      </c>
      <c r="C27" s="171">
        <v>15000</v>
      </c>
      <c r="D27" s="164">
        <f>C27/POWER(1+F4,A27)</f>
        <v>13344.480081309473</v>
      </c>
      <c r="E27" s="164">
        <f t="shared" si="1"/>
        <v>1655.5199186905265</v>
      </c>
      <c r="F27" s="165"/>
      <c r="G27" s="165"/>
    </row>
    <row r="28" spans="1:7">
      <c r="A28" s="159">
        <v>9</v>
      </c>
      <c r="B28" s="170">
        <v>43983</v>
      </c>
      <c r="C28" s="171">
        <v>15000</v>
      </c>
      <c r="D28" s="164">
        <f>C28/POWER(1+F4,A28)</f>
        <v>13150.823759023326</v>
      </c>
      <c r="E28" s="164">
        <f t="shared" si="1"/>
        <v>1849.1762409766743</v>
      </c>
      <c r="F28" s="165"/>
      <c r="G28" s="165"/>
    </row>
    <row r="29" spans="1:7">
      <c r="A29" s="159">
        <v>10</v>
      </c>
      <c r="B29" s="170">
        <v>44013</v>
      </c>
      <c r="C29" s="171">
        <v>15000</v>
      </c>
      <c r="D29" s="164">
        <f>C29/POWER(1+F4,A29)</f>
        <v>12959.977795097555</v>
      </c>
      <c r="E29" s="164">
        <f t="shared" si="1"/>
        <v>2040.0222049024451</v>
      </c>
      <c r="F29" s="165"/>
      <c r="G29" s="165"/>
    </row>
    <row r="30" spans="1:7">
      <c r="A30" s="159">
        <v>11</v>
      </c>
      <c r="B30" s="170">
        <v>44044</v>
      </c>
      <c r="C30" s="171">
        <v>15000</v>
      </c>
      <c r="D30" s="164">
        <f>C30/POWER(1+F4,A30)</f>
        <v>12771.901405353155</v>
      </c>
      <c r="E30" s="164">
        <f t="shared" si="1"/>
        <v>2228.0985946468445</v>
      </c>
      <c r="F30" s="165"/>
      <c r="G30" s="165"/>
    </row>
    <row r="31" spans="1:7">
      <c r="A31" s="159">
        <v>12</v>
      </c>
      <c r="B31" s="170">
        <v>44075</v>
      </c>
      <c r="C31" s="171">
        <v>15000</v>
      </c>
      <c r="D31" s="164">
        <f>C31/POWER(1+F4,A31)</f>
        <v>12586.554397474878</v>
      </c>
      <c r="E31" s="164">
        <f t="shared" si="1"/>
        <v>2413.445602525122</v>
      </c>
      <c r="F31" s="165"/>
      <c r="G31" s="165"/>
    </row>
    <row r="32" spans="1:7">
      <c r="A32" s="159">
        <v>13</v>
      </c>
      <c r="B32" s="170">
        <v>44105</v>
      </c>
      <c r="C32" s="171">
        <v>15000</v>
      </c>
      <c r="D32" s="164">
        <f>C32/POWER(1+F4,A32)</f>
        <v>12403.89716242205</v>
      </c>
      <c r="E32" s="164">
        <f t="shared" si="1"/>
        <v>2596.1028375779497</v>
      </c>
      <c r="F32" s="165"/>
      <c r="G32" s="165"/>
    </row>
    <row r="33" spans="1:7">
      <c r="A33" s="159">
        <v>14</v>
      </c>
      <c r="B33" s="170">
        <v>44136</v>
      </c>
      <c r="C33" s="171">
        <v>15000</v>
      </c>
      <c r="D33" s="164">
        <f>C33/POWER(1+F4,A33)</f>
        <v>12223.89066596404</v>
      </c>
      <c r="E33" s="164">
        <f t="shared" si="1"/>
        <v>2776.1093340359603</v>
      </c>
      <c r="F33" s="165"/>
      <c r="G33" s="165"/>
    </row>
    <row r="34" spans="1:7">
      <c r="A34" s="159">
        <v>15</v>
      </c>
      <c r="B34" s="170">
        <v>44166</v>
      </c>
      <c r="C34" s="171">
        <v>15000</v>
      </c>
      <c r="D34" s="164">
        <f>C34/POWER(1+F4,A34)</f>
        <v>12046.496440338555</v>
      </c>
      <c r="E34" s="164">
        <f t="shared" si="1"/>
        <v>2953.5035596614453</v>
      </c>
      <c r="F34" s="165"/>
      <c r="G34" s="165"/>
    </row>
    <row r="35" spans="1:7">
      <c r="A35" s="159"/>
      <c r="B35" s="159"/>
      <c r="C35" s="172">
        <f>SUM(C23:C34)</f>
        <v>180000</v>
      </c>
      <c r="D35" s="173">
        <f>SUM(D23:D34)</f>
        <v>156860.17374967874</v>
      </c>
      <c r="E35" s="173">
        <f>SUM(E23:E34)</f>
        <v>23139.826250321239</v>
      </c>
      <c r="F35" s="169">
        <f>F21-D35</f>
        <v>250425.17525392587</v>
      </c>
      <c r="G35" s="165"/>
    </row>
    <row r="36" spans="1:7">
      <c r="A36" s="159"/>
      <c r="B36" s="159"/>
      <c r="C36" s="159"/>
      <c r="D36" s="164"/>
      <c r="E36" s="162"/>
      <c r="F36" s="165"/>
      <c r="G36" s="165"/>
    </row>
    <row r="37" spans="1:7">
      <c r="A37" s="159">
        <v>16</v>
      </c>
      <c r="B37" s="170">
        <v>44197</v>
      </c>
      <c r="C37" s="171">
        <v>15000</v>
      </c>
      <c r="D37" s="164">
        <f>C37/POWER(1+F4,A37)</f>
        <v>11871.676576031021</v>
      </c>
      <c r="E37" s="164">
        <f t="shared" ref="E37:E48" si="2">C37-D37</f>
        <v>3128.3234239689791</v>
      </c>
      <c r="F37" s="165"/>
      <c r="G37" s="165"/>
    </row>
    <row r="38" spans="1:7">
      <c r="A38" s="159">
        <v>17</v>
      </c>
      <c r="B38" s="170">
        <v>44228</v>
      </c>
      <c r="C38" s="171">
        <v>15000</v>
      </c>
      <c r="D38" s="164">
        <f>C38/POWER(1+F4,A38)</f>
        <v>11699.393713673211</v>
      </c>
      <c r="E38" s="164">
        <f t="shared" si="2"/>
        <v>3300.6062863267889</v>
      </c>
      <c r="F38" s="165"/>
      <c r="G38" s="165"/>
    </row>
    <row r="39" spans="1:7">
      <c r="A39" s="187">
        <v>18</v>
      </c>
      <c r="B39" s="170">
        <v>44256</v>
      </c>
      <c r="C39" s="171">
        <v>15000</v>
      </c>
      <c r="D39" s="164">
        <f>C39/POWER(1+F4,A39)</f>
        <v>11529.611036059494</v>
      </c>
      <c r="E39" s="164">
        <f t="shared" si="2"/>
        <v>3470.3889639405061</v>
      </c>
    </row>
    <row r="40" spans="1:7">
      <c r="A40" s="187">
        <v>19</v>
      </c>
      <c r="B40" s="170">
        <v>44287</v>
      </c>
      <c r="C40" s="171">
        <v>15000</v>
      </c>
      <c r="D40" s="164">
        <f>C40/POWER(1+F4,A40)</f>
        <v>11362.292260278911</v>
      </c>
      <c r="E40" s="164">
        <f t="shared" si="2"/>
        <v>3637.7077397210887</v>
      </c>
    </row>
    <row r="41" spans="1:7">
      <c r="A41" s="187">
        <v>20</v>
      </c>
      <c r="B41" s="170">
        <v>44317</v>
      </c>
      <c r="C41" s="171">
        <v>15000</v>
      </c>
      <c r="D41" s="164">
        <f>C41/POWER(1+F4,A41)</f>
        <v>11197.401629961445</v>
      </c>
      <c r="E41" s="164">
        <f t="shared" si="2"/>
        <v>3802.598370038555</v>
      </c>
    </row>
    <row r="42" spans="1:7">
      <c r="A42" s="187">
        <v>21</v>
      </c>
      <c r="B42" s="170">
        <v>44348</v>
      </c>
      <c r="C42" s="171">
        <v>15000</v>
      </c>
      <c r="D42" s="164">
        <f>C42/POWER(1+F4,A42)</f>
        <v>11034.903907636812</v>
      </c>
      <c r="E42" s="164">
        <f t="shared" si="2"/>
        <v>3965.0960923631883</v>
      </c>
    </row>
    <row r="43" spans="1:7">
      <c r="A43" s="187">
        <v>22</v>
      </c>
      <c r="B43" s="170">
        <v>44378</v>
      </c>
      <c r="C43" s="171">
        <v>15000</v>
      </c>
      <c r="D43" s="164">
        <f>C43/POWER(1+F4,A43)</f>
        <v>10874.764367204129</v>
      </c>
      <c r="E43" s="164">
        <f t="shared" si="2"/>
        <v>4125.2356327958714</v>
      </c>
    </row>
    <row r="44" spans="1:7">
      <c r="A44" s="187">
        <v>23</v>
      </c>
      <c r="B44" s="170">
        <v>44409</v>
      </c>
      <c r="C44" s="171">
        <v>15000</v>
      </c>
      <c r="D44" s="164">
        <f>C44/POWER(1+F4,A44)</f>
        <v>10716.948786510889</v>
      </c>
      <c r="E44" s="164">
        <f t="shared" si="2"/>
        <v>4283.0512134891105</v>
      </c>
    </row>
    <row r="45" spans="1:7">
      <c r="A45" s="187">
        <v>24</v>
      </c>
      <c r="B45" s="170">
        <v>44440</v>
      </c>
      <c r="C45" s="171">
        <v>15000</v>
      </c>
      <c r="D45" s="164">
        <f>C45/POWER(1+F4,A45)</f>
        <v>10561.423440039614</v>
      </c>
      <c r="E45" s="164">
        <f t="shared" si="2"/>
        <v>4438.5765599603856</v>
      </c>
    </row>
    <row r="46" spans="1:7">
      <c r="A46" s="187">
        <v>25</v>
      </c>
      <c r="B46" s="170">
        <v>44470</v>
      </c>
      <c r="C46" s="171">
        <v>15000</v>
      </c>
      <c r="D46" s="164">
        <f>C46/POWER(1+F4,A46)</f>
        <v>10408.155091700628</v>
      </c>
      <c r="E46" s="164">
        <f t="shared" si="2"/>
        <v>4591.844908299372</v>
      </c>
    </row>
    <row r="47" spans="1:7">
      <c r="A47" s="187">
        <v>26</v>
      </c>
      <c r="B47" s="170">
        <v>44501</v>
      </c>
      <c r="C47" s="171">
        <v>15000</v>
      </c>
      <c r="D47" s="164">
        <f>C47/POWER(1+F4,A47)</f>
        <v>10257.110987729453</v>
      </c>
      <c r="E47" s="164">
        <f t="shared" si="2"/>
        <v>4742.889012270547</v>
      </c>
    </row>
    <row r="48" spans="1:7">
      <c r="A48" s="187">
        <v>27</v>
      </c>
      <c r="B48" s="170">
        <v>44531</v>
      </c>
      <c r="C48" s="171">
        <v>15000</v>
      </c>
      <c r="D48" s="164">
        <f>C48/POWER(1+F4,A48)</f>
        <v>10108.258849687249</v>
      </c>
      <c r="E48" s="164">
        <f t="shared" si="2"/>
        <v>4891.7411503127514</v>
      </c>
    </row>
    <row r="49" spans="1:6">
      <c r="C49" s="186">
        <f>SUM(C37:C48)</f>
        <v>180000</v>
      </c>
      <c r="D49" s="186">
        <f>SUM(D37:D48)</f>
        <v>131621.94064651284</v>
      </c>
      <c r="E49" s="186">
        <f>SUM(E37:E48)</f>
        <v>48378.059353487144</v>
      </c>
      <c r="F49" s="184">
        <f>F35-D49</f>
        <v>118803.23460741303</v>
      </c>
    </row>
    <row r="51" spans="1:6">
      <c r="A51" s="188">
        <v>28</v>
      </c>
      <c r="B51" s="170">
        <v>44562</v>
      </c>
      <c r="C51" s="171">
        <v>15000</v>
      </c>
      <c r="D51" s="164">
        <f>C51/POWER(1+F4,A51)</f>
        <v>9961.5668675628494</v>
      </c>
      <c r="E51" s="164">
        <f t="shared" ref="E51:E62" si="3">C51-D51</f>
        <v>5038.4331324371506</v>
      </c>
    </row>
    <row r="52" spans="1:6">
      <c r="A52" s="188">
        <v>29</v>
      </c>
      <c r="B52" s="170">
        <v>44593</v>
      </c>
      <c r="C52" s="171">
        <v>15000</v>
      </c>
      <c r="D52" s="164">
        <f>C52/POWER(1+F4,A52)</f>
        <v>9817.0036929749003</v>
      </c>
      <c r="E52" s="164">
        <f t="shared" si="3"/>
        <v>5182.9963070250997</v>
      </c>
    </row>
    <row r="53" spans="1:6">
      <c r="A53" s="188">
        <v>30</v>
      </c>
      <c r="B53" s="170">
        <v>44621</v>
      </c>
      <c r="C53" s="171">
        <v>15000</v>
      </c>
      <c r="D53" s="164">
        <f>C53/POWER(1+F4,A53)</f>
        <v>9674.5384324726347</v>
      </c>
      <c r="E53" s="164">
        <f t="shared" si="3"/>
        <v>5325.4615675273653</v>
      </c>
    </row>
    <row r="54" spans="1:6">
      <c r="A54" s="188">
        <v>31</v>
      </c>
      <c r="B54" s="170">
        <v>44652</v>
      </c>
      <c r="C54" s="171">
        <v>15000</v>
      </c>
      <c r="D54" s="164">
        <f>C54/POWER(1+F4,A54)</f>
        <v>9534.140640933887</v>
      </c>
      <c r="E54" s="164">
        <f t="shared" si="3"/>
        <v>5465.859359066113</v>
      </c>
    </row>
    <row r="55" spans="1:6">
      <c r="A55" s="188">
        <v>32</v>
      </c>
      <c r="B55" s="170">
        <v>44682</v>
      </c>
      <c r="C55" s="171">
        <v>15000</v>
      </c>
      <c r="D55" s="164">
        <f>C55/POWER(1+F4,A55)</f>
        <v>9395.7803150589079</v>
      </c>
      <c r="E55" s="164">
        <f t="shared" si="3"/>
        <v>5604.2196849410921</v>
      </c>
    </row>
    <row r="56" spans="1:6">
      <c r="A56" s="188">
        <v>33</v>
      </c>
      <c r="B56" s="170">
        <v>44713</v>
      </c>
      <c r="C56" s="171">
        <v>15000</v>
      </c>
      <c r="D56" s="164">
        <f>C56/POWER(1+F4,A56)</f>
        <v>9259.4278869585887</v>
      </c>
      <c r="E56" s="164">
        <f t="shared" si="3"/>
        <v>5740.5721130414113</v>
      </c>
    </row>
    <row r="57" spans="1:6">
      <c r="A57" s="188">
        <v>34</v>
      </c>
      <c r="B57" s="170">
        <v>44743</v>
      </c>
      <c r="C57" s="171">
        <v>15000</v>
      </c>
      <c r="D57" s="164">
        <f>C57/POWER(1+F4,A57)</f>
        <v>9125.05421783575</v>
      </c>
      <c r="E57" s="164">
        <f t="shared" si="3"/>
        <v>5874.94578216425</v>
      </c>
    </row>
    <row r="58" spans="1:6">
      <c r="A58" s="188">
        <v>35</v>
      </c>
      <c r="B58" s="170">
        <v>44774</v>
      </c>
      <c r="C58" s="171">
        <v>15000</v>
      </c>
      <c r="D58" s="164">
        <f>C58/POWER(1+F4,A58)</f>
        <v>8992.6305917581158</v>
      </c>
      <c r="E58" s="164">
        <f t="shared" si="3"/>
        <v>6007.3694082418842</v>
      </c>
    </row>
    <row r="59" spans="1:6">
      <c r="A59" s="188">
        <v>36</v>
      </c>
      <c r="B59" s="170">
        <v>44805</v>
      </c>
      <c r="C59" s="171">
        <v>15000</v>
      </c>
      <c r="D59" s="164">
        <f>C59/POWER(1+F4,A59)</f>
        <v>8862.1287095216576</v>
      </c>
      <c r="E59" s="164">
        <f t="shared" si="3"/>
        <v>6137.8712904783424</v>
      </c>
    </row>
    <row r="60" spans="1:6">
      <c r="A60" s="188">
        <v>37</v>
      </c>
      <c r="B60" s="170">
        <v>44835</v>
      </c>
      <c r="C60" s="171">
        <v>15000</v>
      </c>
      <c r="D60" s="164">
        <f>C60/POWER(1+F4,A60)</f>
        <v>8733.5206826030062</v>
      </c>
      <c r="E60" s="164">
        <f t="shared" si="3"/>
        <v>6266.4793173969938</v>
      </c>
    </row>
    <row r="61" spans="1:6">
      <c r="A61" s="188">
        <v>38</v>
      </c>
      <c r="B61" s="170">
        <v>44866</v>
      </c>
      <c r="C61" s="171">
        <v>15000</v>
      </c>
      <c r="D61" s="164">
        <f>C61/POWER(1+F4,A61)</f>
        <v>8606.7790271996037</v>
      </c>
      <c r="E61" s="164">
        <f t="shared" si="3"/>
        <v>6393.2209728003963</v>
      </c>
    </row>
    <row r="62" spans="1:6">
      <c r="A62" s="188">
        <v>39</v>
      </c>
      <c r="B62" s="170">
        <v>44896</v>
      </c>
      <c r="C62" s="171">
        <v>15000</v>
      </c>
      <c r="D62" s="164">
        <f>C62/POWER(1+F4,A62)</f>
        <v>8481.8766583563593</v>
      </c>
      <c r="E62" s="164">
        <f t="shared" si="3"/>
        <v>6518.1233416436407</v>
      </c>
    </row>
    <row r="63" spans="1:6">
      <c r="C63" s="186">
        <f>SUM(C51:C62)</f>
        <v>180000</v>
      </c>
      <c r="D63" s="186">
        <f>SUM(D51:D62)</f>
        <v>110444.44772323626</v>
      </c>
      <c r="E63" s="186">
        <f>SUM(E51:E62)</f>
        <v>69555.552276763745</v>
      </c>
      <c r="F63" s="184">
        <f>F49-D63</f>
        <v>8358.7868841767777</v>
      </c>
    </row>
    <row r="65" spans="1:6">
      <c r="A65" s="188">
        <v>40</v>
      </c>
      <c r="B65" s="170">
        <v>44927</v>
      </c>
      <c r="C65" s="171">
        <v>15000</v>
      </c>
      <c r="D65" s="164">
        <f>C65/POWER(1+F4,A65)</f>
        <v>8358.7868841775507</v>
      </c>
      <c r="E65" s="189">
        <f>C65-D65</f>
        <v>6641.2131158224493</v>
      </c>
    </row>
    <row r="66" spans="1:6">
      <c r="C66" s="186">
        <f>SUM(C65)</f>
        <v>15000</v>
      </c>
      <c r="D66" s="186">
        <f>D65</f>
        <v>8358.7868841775507</v>
      </c>
      <c r="F66" s="184">
        <f>F63-D66</f>
        <v>-7.73070496506989E-10</v>
      </c>
    </row>
    <row r="68" spans="1:6">
      <c r="D68" s="179">
        <f>D66+D63+D49+D35+D21</f>
        <v>450991.85093087109</v>
      </c>
    </row>
  </sheetData>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dimension ref="A2:O37"/>
  <sheetViews>
    <sheetView topLeftCell="A12" zoomScale="140" zoomScaleNormal="140" workbookViewId="0">
      <selection activeCell="B35" sqref="B35"/>
    </sheetView>
  </sheetViews>
  <sheetFormatPr defaultColWidth="10.85546875" defaultRowHeight="15"/>
  <cols>
    <col min="1" max="1" width="5.28515625" style="166" customWidth="1"/>
    <col min="2" max="2" width="11.7109375" style="166" customWidth="1"/>
    <col min="3" max="3" width="10.85546875" style="166"/>
    <col min="4" max="4" width="11.85546875" style="166" customWidth="1"/>
    <col min="5" max="16384" width="10.85546875" style="166"/>
  </cols>
  <sheetData>
    <row r="2" spans="1:15" ht="165">
      <c r="B2" s="159" t="s">
        <v>1248</v>
      </c>
      <c r="C2" s="159" t="s">
        <v>1249</v>
      </c>
      <c r="D2" s="160" t="s">
        <v>1250</v>
      </c>
      <c r="E2" s="161" t="s">
        <v>1251</v>
      </c>
      <c r="F2" s="161" t="s">
        <v>1252</v>
      </c>
      <c r="G2" s="162" t="s">
        <v>1253</v>
      </c>
      <c r="H2" s="162" t="s">
        <v>1254</v>
      </c>
    </row>
    <row r="3" spans="1:15">
      <c r="B3" s="178" t="s">
        <v>1290</v>
      </c>
      <c r="C3" s="163" t="s">
        <v>1347</v>
      </c>
      <c r="D3" s="164" t="s">
        <v>1348</v>
      </c>
      <c r="E3" s="177">
        <v>0.17670952862091799</v>
      </c>
      <c r="F3" s="164">
        <f>E3/12</f>
        <v>1.4725794051743166E-2</v>
      </c>
      <c r="G3" s="164">
        <v>12</v>
      </c>
      <c r="H3" s="164">
        <v>8000</v>
      </c>
    </row>
    <row r="4" spans="1:15">
      <c r="F4" s="179">
        <f>F3</f>
        <v>1.4725794051743166E-2</v>
      </c>
    </row>
    <row r="6" spans="1:15">
      <c r="A6" s="165"/>
      <c r="C6" s="167" t="s">
        <v>1258</v>
      </c>
      <c r="D6" s="168"/>
      <c r="E6" s="165"/>
      <c r="F6" s="165"/>
      <c r="G6" s="169"/>
    </row>
    <row r="7" spans="1:15">
      <c r="A7" s="165"/>
      <c r="B7" s="167"/>
      <c r="C7" s="167"/>
      <c r="D7" s="168"/>
      <c r="E7" s="165"/>
      <c r="F7" s="165" t="s">
        <v>1259</v>
      </c>
      <c r="G7" s="169">
        <f>-PV(F3,G3,H3)</f>
        <v>87409.275417717086</v>
      </c>
      <c r="K7" s="166" t="s">
        <v>1274</v>
      </c>
    </row>
    <row r="8" spans="1:15" ht="60">
      <c r="A8" s="162" t="s">
        <v>1260</v>
      </c>
      <c r="B8" s="159" t="s">
        <v>1261</v>
      </c>
      <c r="C8" s="159" t="s">
        <v>1262</v>
      </c>
      <c r="D8" s="160" t="s">
        <v>1263</v>
      </c>
      <c r="E8" s="162" t="s">
        <v>1264</v>
      </c>
      <c r="F8" s="165"/>
      <c r="G8" s="165"/>
      <c r="I8" s="180" t="s">
        <v>1260</v>
      </c>
      <c r="J8" s="181" t="s">
        <v>1275</v>
      </c>
      <c r="K8" s="182" t="s">
        <v>1276</v>
      </c>
      <c r="L8" s="182" t="s">
        <v>1277</v>
      </c>
      <c r="M8" s="181" t="s">
        <v>1278</v>
      </c>
      <c r="N8" s="182" t="s">
        <v>1279</v>
      </c>
      <c r="O8" s="182" t="s">
        <v>1280</v>
      </c>
    </row>
    <row r="9" spans="1:15">
      <c r="A9" s="162"/>
      <c r="B9" s="176"/>
      <c r="C9" s="171"/>
      <c r="D9" s="164"/>
      <c r="E9" s="164"/>
      <c r="F9" s="165"/>
      <c r="G9" s="165"/>
      <c r="I9" s="181"/>
      <c r="J9" s="181"/>
      <c r="K9" s="185"/>
      <c r="L9" s="183"/>
      <c r="M9" s="183"/>
      <c r="N9" s="183"/>
      <c r="O9" s="183"/>
    </row>
    <row r="10" spans="1:15">
      <c r="A10" s="162"/>
      <c r="B10" s="170"/>
      <c r="C10" s="171"/>
      <c r="D10" s="164"/>
      <c r="E10" s="164"/>
      <c r="F10" s="165"/>
      <c r="G10" s="165"/>
      <c r="I10" s="181"/>
      <c r="J10" s="181">
        <v>2019</v>
      </c>
      <c r="K10" s="185" t="s">
        <v>1349</v>
      </c>
      <c r="L10" s="183">
        <f>G7</f>
        <v>87409.275417717086</v>
      </c>
      <c r="M10" s="183">
        <f>L10/12*10</f>
        <v>72841.062848097572</v>
      </c>
      <c r="N10" s="183">
        <f>M9+M10</f>
        <v>72841.062848097572</v>
      </c>
      <c r="O10" s="183">
        <f>L10-N10</f>
        <v>14568.212569619514</v>
      </c>
    </row>
    <row r="11" spans="1:15">
      <c r="A11" s="162"/>
      <c r="B11" s="170"/>
      <c r="C11" s="171"/>
      <c r="D11" s="164"/>
      <c r="E11" s="164"/>
      <c r="F11" s="165"/>
      <c r="G11" s="165"/>
      <c r="I11" s="181"/>
      <c r="J11" s="181">
        <v>2020</v>
      </c>
      <c r="K11" s="185" t="s">
        <v>1350</v>
      </c>
      <c r="L11" s="183">
        <f>G7</f>
        <v>87409.275417717086</v>
      </c>
      <c r="M11" s="183">
        <f>L11/12*2</f>
        <v>14568.212569619514</v>
      </c>
      <c r="N11" s="183">
        <f>N10+M11</f>
        <v>87409.275417717086</v>
      </c>
      <c r="O11" s="183">
        <f>L11-N11</f>
        <v>0</v>
      </c>
    </row>
    <row r="12" spans="1:15">
      <c r="A12" s="162"/>
      <c r="B12" s="170"/>
      <c r="C12" s="171"/>
      <c r="D12" s="164"/>
      <c r="E12" s="164"/>
      <c r="F12" s="165"/>
      <c r="G12" s="165"/>
      <c r="I12" s="181"/>
      <c r="J12" s="181"/>
      <c r="K12" s="185"/>
      <c r="L12" s="183"/>
      <c r="M12" s="183"/>
      <c r="N12" s="183"/>
      <c r="O12" s="183"/>
    </row>
    <row r="13" spans="1:15">
      <c r="A13" s="162"/>
      <c r="B13" s="170"/>
      <c r="C13" s="171"/>
      <c r="D13" s="164"/>
      <c r="E13" s="164"/>
      <c r="F13" s="165"/>
      <c r="G13" s="165"/>
      <c r="M13" s="184">
        <f>SUM(M9:M12)</f>
        <v>87409.275417717086</v>
      </c>
    </row>
    <row r="14" spans="1:15">
      <c r="A14" s="162"/>
      <c r="B14" s="170"/>
      <c r="C14" s="171"/>
      <c r="D14" s="164"/>
      <c r="E14" s="164"/>
      <c r="F14" s="165"/>
      <c r="G14" s="165"/>
    </row>
    <row r="15" spans="1:15">
      <c r="A15" s="162"/>
      <c r="B15" s="170"/>
      <c r="C15" s="171"/>
      <c r="D15" s="164"/>
      <c r="E15" s="164"/>
      <c r="F15" s="165"/>
      <c r="G15" s="165"/>
    </row>
    <row r="16" spans="1:15">
      <c r="A16" s="162"/>
      <c r="B16" s="170"/>
      <c r="C16" s="171"/>
      <c r="D16" s="164"/>
      <c r="E16" s="164"/>
      <c r="F16" s="165"/>
      <c r="G16" s="165"/>
    </row>
    <row r="17" spans="1:7">
      <c r="A17" s="162"/>
      <c r="B17" s="170"/>
      <c r="C17" s="171"/>
      <c r="D17" s="164"/>
      <c r="E17" s="164"/>
      <c r="F17" s="165"/>
      <c r="G17" s="165"/>
    </row>
    <row r="18" spans="1:7">
      <c r="A18" s="162"/>
      <c r="B18" s="170"/>
      <c r="C18" s="171"/>
      <c r="D18" s="164"/>
      <c r="E18" s="164"/>
      <c r="F18" s="165"/>
      <c r="G18" s="165"/>
    </row>
    <row r="19" spans="1:7">
      <c r="A19" s="162"/>
      <c r="B19" s="159"/>
      <c r="C19" s="172"/>
      <c r="D19" s="173"/>
      <c r="E19" s="173"/>
      <c r="F19" s="165"/>
      <c r="G19" s="165"/>
    </row>
    <row r="20" spans="1:7">
      <c r="A20" s="162"/>
      <c r="B20" s="159"/>
      <c r="C20" s="159"/>
      <c r="D20" s="164"/>
      <c r="E20" s="162"/>
      <c r="F20" s="165"/>
      <c r="G20" s="165"/>
    </row>
    <row r="21" spans="1:7">
      <c r="A21" s="162">
        <v>1</v>
      </c>
      <c r="B21" s="170">
        <v>43525</v>
      </c>
      <c r="C21" s="171">
        <v>8000</v>
      </c>
      <c r="D21" s="164">
        <f>C21/POWER(1+F4,A21)</f>
        <v>7883.9032642074162</v>
      </c>
      <c r="E21" s="164">
        <f t="shared" ref="E21:E30" si="0">C21-D21</f>
        <v>116.09673579258379</v>
      </c>
      <c r="F21" s="165"/>
      <c r="G21" s="165"/>
    </row>
    <row r="22" spans="1:7">
      <c r="A22" s="162">
        <v>2</v>
      </c>
      <c r="B22" s="170">
        <v>43556</v>
      </c>
      <c r="C22" s="171">
        <v>8000</v>
      </c>
      <c r="D22" s="164">
        <f>C22/POWER(1+F4,A22)</f>
        <v>7769.4913349225435</v>
      </c>
      <c r="E22" s="164">
        <f t="shared" si="0"/>
        <v>230.5086650774565</v>
      </c>
      <c r="F22" s="165"/>
      <c r="G22" s="165"/>
    </row>
    <row r="23" spans="1:7">
      <c r="A23" s="162">
        <v>3</v>
      </c>
      <c r="B23" s="170">
        <v>43586</v>
      </c>
      <c r="C23" s="171">
        <v>8000</v>
      </c>
      <c r="D23" s="164">
        <f>C23/POWER(1+F4,A23)</f>
        <v>7656.739762078385</v>
      </c>
      <c r="E23" s="164">
        <f t="shared" si="0"/>
        <v>343.26023792161504</v>
      </c>
      <c r="F23" s="165"/>
      <c r="G23" s="165"/>
    </row>
    <row r="24" spans="1:7">
      <c r="A24" s="162">
        <v>4</v>
      </c>
      <c r="B24" s="170">
        <v>43617</v>
      </c>
      <c r="C24" s="171">
        <v>8000</v>
      </c>
      <c r="D24" s="164">
        <f>C24/POWER(1+F4,A24)</f>
        <v>7545.624450429561</v>
      </c>
      <c r="E24" s="164">
        <f t="shared" si="0"/>
        <v>454.37554957043903</v>
      </c>
      <c r="F24" s="165"/>
      <c r="G24" s="165"/>
    </row>
    <row r="25" spans="1:7">
      <c r="A25" s="162">
        <v>5</v>
      </c>
      <c r="B25" s="170">
        <v>43647</v>
      </c>
      <c r="C25" s="171">
        <v>8000</v>
      </c>
      <c r="D25" s="164">
        <f>C25/POWER(1+F4,A25)</f>
        <v>7436.121654403114</v>
      </c>
      <c r="E25" s="164">
        <f t="shared" si="0"/>
        <v>563.87834559688599</v>
      </c>
      <c r="F25" s="165"/>
      <c r="G25" s="165"/>
    </row>
    <row r="26" spans="1:7">
      <c r="A26" s="162">
        <v>6</v>
      </c>
      <c r="B26" s="170">
        <v>43678</v>
      </c>
      <c r="C26" s="171">
        <v>8000</v>
      </c>
      <c r="D26" s="164">
        <f>C26/POWER(1+F4,A26)</f>
        <v>7328.2079730240202</v>
      </c>
      <c r="E26" s="164">
        <f t="shared" si="0"/>
        <v>671.79202697597975</v>
      </c>
      <c r="F26" s="165"/>
      <c r="G26" s="165"/>
    </row>
    <row r="27" spans="1:7">
      <c r="A27" s="162">
        <v>7</v>
      </c>
      <c r="B27" s="170">
        <v>43709</v>
      </c>
      <c r="C27" s="171">
        <v>8000</v>
      </c>
      <c r="D27" s="164">
        <f>C27/POWER(1+F4,A27)</f>
        <v>7221.8603449143602</v>
      </c>
      <c r="E27" s="164">
        <f t="shared" si="0"/>
        <v>778.13965508563979</v>
      </c>
      <c r="F27" s="165"/>
      <c r="G27" s="165"/>
    </row>
    <row r="28" spans="1:7">
      <c r="A28" s="162">
        <v>8</v>
      </c>
      <c r="B28" s="170">
        <v>43739</v>
      </c>
      <c r="C28" s="171">
        <v>8000</v>
      </c>
      <c r="D28" s="164">
        <f>C28/POWER(1+F4,A28)</f>
        <v>7117.0560433650526</v>
      </c>
      <c r="E28" s="164">
        <f t="shared" si="0"/>
        <v>882.94395663494743</v>
      </c>
      <c r="F28" s="165"/>
      <c r="G28" s="165"/>
    </row>
    <row r="29" spans="1:7">
      <c r="A29" s="162">
        <v>9</v>
      </c>
      <c r="B29" s="170">
        <v>43770</v>
      </c>
      <c r="C29" s="171">
        <v>8000</v>
      </c>
      <c r="D29" s="164">
        <f>C29/POWER(1+F4,A29)</f>
        <v>7013.772671479107</v>
      </c>
      <c r="E29" s="164">
        <f t="shared" si="0"/>
        <v>986.22732852089302</v>
      </c>
      <c r="F29" s="165"/>
      <c r="G29" s="165"/>
    </row>
    <row r="30" spans="1:7">
      <c r="A30" s="162">
        <v>10</v>
      </c>
      <c r="B30" s="170">
        <v>43800</v>
      </c>
      <c r="C30" s="171">
        <v>8000</v>
      </c>
      <c r="D30" s="164">
        <f>C30/POWER(1+F4,A30)</f>
        <v>6911.9881573853627</v>
      </c>
      <c r="E30" s="164">
        <f t="shared" si="0"/>
        <v>1088.0118426146373</v>
      </c>
      <c r="F30" s="165"/>
      <c r="G30" s="165"/>
    </row>
    <row r="31" spans="1:7">
      <c r="A31" s="162"/>
      <c r="B31" s="159"/>
      <c r="C31" s="172">
        <f>SUM(C21:C30)</f>
        <v>80000</v>
      </c>
      <c r="D31" s="173">
        <f>SUM(D21:D30)</f>
        <v>73884.765656208925</v>
      </c>
      <c r="E31" s="173">
        <f>SUM(E21:E30)</f>
        <v>6115.2343437910777</v>
      </c>
      <c r="F31" s="168">
        <f>D31+E31</f>
        <v>80000</v>
      </c>
      <c r="G31" s="169">
        <f>G7-D31</f>
        <v>13524.509761508161</v>
      </c>
    </row>
    <row r="32" spans="1:7">
      <c r="A32" s="162"/>
      <c r="B32" s="159"/>
      <c r="C32" s="159"/>
      <c r="D32" s="164"/>
      <c r="E32" s="162"/>
      <c r="F32" s="165"/>
      <c r="G32" s="165"/>
    </row>
    <row r="33" spans="1:7">
      <c r="A33" s="162">
        <v>11</v>
      </c>
      <c r="B33" s="170">
        <v>43831</v>
      </c>
      <c r="C33" s="171">
        <v>8000</v>
      </c>
      <c r="D33" s="164">
        <f>C33/POWER(1+F4,A33)</f>
        <v>6811.6807495216826</v>
      </c>
      <c r="E33" s="164">
        <f>C33-D33</f>
        <v>1188.3192504783174</v>
      </c>
      <c r="F33" s="165"/>
      <c r="G33" s="165"/>
    </row>
    <row r="34" spans="1:7">
      <c r="A34" s="162">
        <v>12</v>
      </c>
      <c r="B34" s="170">
        <v>43862</v>
      </c>
      <c r="C34" s="171">
        <v>8000</v>
      </c>
      <c r="D34" s="164">
        <f>C34/POWER(1+F4,A34)</f>
        <v>6712.8290119866015</v>
      </c>
      <c r="E34" s="164">
        <f>C34-D34</f>
        <v>1287.1709880133985</v>
      </c>
      <c r="F34" s="165"/>
      <c r="G34" s="165"/>
    </row>
    <row r="35" spans="1:7">
      <c r="A35" s="181"/>
      <c r="B35" s="181"/>
      <c r="C35" s="205">
        <f>SUM(C33:C34)</f>
        <v>16000</v>
      </c>
      <c r="D35" s="205">
        <f>SUM(D33:D34)</f>
        <v>13524.509761508285</v>
      </c>
      <c r="E35" s="205">
        <f>SUM(E33:E34)</f>
        <v>2475.4902384917159</v>
      </c>
    </row>
    <row r="36" spans="1:7">
      <c r="A36" s="181"/>
      <c r="B36" s="181"/>
      <c r="C36" s="181"/>
      <c r="D36" s="181"/>
      <c r="E36" s="181"/>
    </row>
    <row r="37" spans="1:7">
      <c r="A37" s="181"/>
      <c r="B37" s="181"/>
      <c r="C37" s="181"/>
      <c r="D37" s="189">
        <f>D31+D35</f>
        <v>87409.275417717203</v>
      </c>
      <c r="E37" s="181"/>
    </row>
  </sheetData>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dimension ref="A1:Q39"/>
  <sheetViews>
    <sheetView topLeftCell="A2" workbookViewId="0">
      <selection activeCell="M38" sqref="M38"/>
    </sheetView>
  </sheetViews>
  <sheetFormatPr defaultColWidth="11.42578125" defaultRowHeight="15"/>
  <cols>
    <col min="1" max="1" width="5.28515625" customWidth="1"/>
    <col min="2" max="2" width="11.7109375" customWidth="1"/>
    <col min="4" max="4" width="11.85546875" customWidth="1"/>
    <col min="11" max="11" width="12.42578125" customWidth="1"/>
  </cols>
  <sheetData>
    <row r="1" spans="1:17">
      <c r="A1" s="166"/>
      <c r="B1" s="166"/>
      <c r="C1" s="166"/>
      <c r="D1" s="166"/>
      <c r="E1" s="166"/>
      <c r="F1" s="166"/>
      <c r="G1" s="166"/>
      <c r="H1" s="166"/>
      <c r="J1" s="166"/>
      <c r="K1" s="166"/>
      <c r="L1" s="166"/>
      <c r="M1" s="166"/>
      <c r="N1" s="166"/>
      <c r="O1" s="166"/>
      <c r="P1" s="166"/>
      <c r="Q1" s="166"/>
    </row>
    <row r="2" spans="1:17" ht="165">
      <c r="A2" s="166"/>
      <c r="B2" s="159" t="s">
        <v>1248</v>
      </c>
      <c r="C2" s="159" t="s">
        <v>1249</v>
      </c>
      <c r="D2" s="160" t="s">
        <v>1250</v>
      </c>
      <c r="E2" s="161" t="s">
        <v>1251</v>
      </c>
      <c r="F2" s="161" t="s">
        <v>1252</v>
      </c>
      <c r="G2" s="162" t="s">
        <v>1253</v>
      </c>
      <c r="H2" s="162" t="s">
        <v>1254</v>
      </c>
      <c r="J2" s="166"/>
      <c r="K2" s="159" t="s">
        <v>1248</v>
      </c>
      <c r="L2" s="159" t="s">
        <v>1249</v>
      </c>
      <c r="M2" s="160" t="s">
        <v>1250</v>
      </c>
      <c r="N2" s="161" t="s">
        <v>1251</v>
      </c>
      <c r="O2" s="161" t="s">
        <v>1252</v>
      </c>
      <c r="P2" s="162" t="s">
        <v>1253</v>
      </c>
      <c r="Q2" s="162" t="s">
        <v>1254</v>
      </c>
    </row>
    <row r="3" spans="1:17">
      <c r="A3" s="166"/>
      <c r="B3" s="178" t="s">
        <v>1292</v>
      </c>
      <c r="C3" s="163" t="s">
        <v>1281</v>
      </c>
      <c r="D3" s="164" t="s">
        <v>1291</v>
      </c>
      <c r="E3" s="177">
        <v>0.17670952862091799</v>
      </c>
      <c r="F3" s="164">
        <f>E3/12</f>
        <v>1.4725794051743166E-2</v>
      </c>
      <c r="G3" s="164">
        <v>16</v>
      </c>
      <c r="H3" s="164">
        <v>10000</v>
      </c>
      <c r="J3" s="166"/>
      <c r="K3" s="178" t="s">
        <v>1292</v>
      </c>
      <c r="L3" s="163" t="s">
        <v>1410</v>
      </c>
      <c r="M3" s="164" t="s">
        <v>1295</v>
      </c>
      <c r="N3" s="177">
        <v>0.17670952862091799</v>
      </c>
      <c r="O3" s="164">
        <f>N3/12</f>
        <v>1.4725794051743166E-2</v>
      </c>
      <c r="P3" s="164">
        <v>12</v>
      </c>
      <c r="Q3" s="164">
        <v>12000</v>
      </c>
    </row>
    <row r="4" spans="1:17">
      <c r="A4" s="166"/>
      <c r="B4" s="166" t="s">
        <v>1293</v>
      </c>
      <c r="C4" s="166"/>
      <c r="D4" s="166"/>
      <c r="E4" s="166"/>
      <c r="F4" s="179">
        <f>F3</f>
        <v>1.4725794051743166E-2</v>
      </c>
      <c r="G4" s="166"/>
      <c r="H4" s="166"/>
      <c r="J4" s="166"/>
      <c r="K4" s="166" t="s">
        <v>1294</v>
      </c>
      <c r="L4" s="166"/>
      <c r="M4" s="166"/>
      <c r="N4" s="166"/>
      <c r="O4" s="179">
        <f>O3</f>
        <v>1.4725794051743166E-2</v>
      </c>
      <c r="P4" s="166"/>
      <c r="Q4" s="166"/>
    </row>
    <row r="5" spans="1:17">
      <c r="A5" s="166"/>
      <c r="B5" s="166"/>
      <c r="C5" s="166"/>
      <c r="D5" s="166"/>
      <c r="E5" s="166"/>
      <c r="F5" s="166"/>
      <c r="G5" s="166"/>
      <c r="H5" s="166"/>
      <c r="J5" s="166"/>
      <c r="K5" s="166"/>
      <c r="L5" s="166"/>
      <c r="M5" s="166"/>
      <c r="N5" s="166"/>
      <c r="O5" s="166"/>
      <c r="P5" s="166"/>
      <c r="Q5" s="166"/>
    </row>
    <row r="6" spans="1:17">
      <c r="A6" s="165"/>
      <c r="B6" s="166"/>
      <c r="C6" s="167" t="s">
        <v>1258</v>
      </c>
      <c r="D6" s="168"/>
      <c r="E6" s="165"/>
      <c r="F6" s="165"/>
      <c r="G6" s="169"/>
      <c r="H6" s="166"/>
      <c r="J6" s="165"/>
      <c r="K6" s="166"/>
      <c r="L6" s="167" t="s">
        <v>1258</v>
      </c>
      <c r="M6" s="168"/>
      <c r="N6" s="165"/>
      <c r="O6" s="165"/>
      <c r="P6" s="169"/>
      <c r="Q6" s="166"/>
    </row>
    <row r="7" spans="1:17">
      <c r="A7" s="165"/>
      <c r="B7" s="167"/>
      <c r="C7" s="167"/>
      <c r="D7" s="168"/>
      <c r="E7" s="165"/>
      <c r="F7" s="165" t="s">
        <v>1259</v>
      </c>
      <c r="G7" s="169">
        <f>-PV(F3,G3,H3)</f>
        <v>141625.56816865003</v>
      </c>
      <c r="H7" s="166"/>
      <c r="J7" s="165"/>
      <c r="K7" s="167"/>
      <c r="L7" s="167"/>
      <c r="M7" s="168"/>
      <c r="N7" s="165"/>
      <c r="O7" s="165" t="s">
        <v>1259</v>
      </c>
      <c r="P7" s="169">
        <f>-PV(O3,P3,Q3)</f>
        <v>131113.91312657562</v>
      </c>
      <c r="Q7" s="166"/>
    </row>
    <row r="8" spans="1:17" ht="45">
      <c r="A8" s="162" t="s">
        <v>1260</v>
      </c>
      <c r="B8" s="159" t="s">
        <v>1261</v>
      </c>
      <c r="C8" s="159" t="s">
        <v>1262</v>
      </c>
      <c r="D8" s="160" t="s">
        <v>1263</v>
      </c>
      <c r="E8" s="162" t="s">
        <v>1264</v>
      </c>
      <c r="F8" s="165"/>
      <c r="G8" s="165"/>
      <c r="H8" s="166"/>
      <c r="J8" s="162" t="s">
        <v>1260</v>
      </c>
      <c r="K8" s="159" t="s">
        <v>1261</v>
      </c>
      <c r="L8" s="159" t="s">
        <v>1262</v>
      </c>
      <c r="M8" s="160" t="s">
        <v>1263</v>
      </c>
      <c r="N8" s="162" t="s">
        <v>1264</v>
      </c>
      <c r="O8" s="165"/>
      <c r="P8" s="165"/>
      <c r="Q8" s="166"/>
    </row>
    <row r="9" spans="1:17">
      <c r="A9" s="162">
        <v>1</v>
      </c>
      <c r="B9" s="170">
        <v>43466</v>
      </c>
      <c r="C9" s="171">
        <v>10000</v>
      </c>
      <c r="D9" s="164">
        <f>C9/POWER(1+F3,A9)</f>
        <v>9854.8790802592703</v>
      </c>
      <c r="E9" s="164">
        <f>C9-D9</f>
        <v>145.12091974072973</v>
      </c>
      <c r="F9" s="165"/>
      <c r="G9" s="165"/>
      <c r="H9" s="166"/>
      <c r="J9" s="162"/>
      <c r="K9" s="170">
        <v>43466</v>
      </c>
      <c r="L9" s="171"/>
      <c r="M9" s="164"/>
      <c r="N9" s="164"/>
      <c r="O9" s="165"/>
      <c r="P9" s="165"/>
      <c r="Q9" s="166"/>
    </row>
    <row r="10" spans="1:17">
      <c r="A10" s="162">
        <v>2</v>
      </c>
      <c r="B10" s="170">
        <v>43497</v>
      </c>
      <c r="C10" s="171">
        <v>10000</v>
      </c>
      <c r="D10" s="164">
        <f>C10/POWER(1+F4,A10)</f>
        <v>9711.8641686531791</v>
      </c>
      <c r="E10" s="164">
        <f t="shared" ref="E10:E20" si="0">C10-D10</f>
        <v>288.13583134682085</v>
      </c>
      <c r="F10" s="165"/>
      <c r="G10" s="165"/>
      <c r="H10" s="166"/>
      <c r="J10" s="162"/>
      <c r="K10" s="170">
        <v>43497</v>
      </c>
      <c r="L10" s="171"/>
      <c r="M10" s="164"/>
      <c r="N10" s="164"/>
      <c r="O10" s="165"/>
      <c r="P10" s="165"/>
      <c r="Q10" s="166"/>
    </row>
    <row r="11" spans="1:17">
      <c r="A11" s="162">
        <v>3</v>
      </c>
      <c r="B11" s="170">
        <v>43525</v>
      </c>
      <c r="C11" s="171">
        <v>10000</v>
      </c>
      <c r="D11" s="164">
        <f>C11/POWER(1+F4,A11)</f>
        <v>9570.9247025979821</v>
      </c>
      <c r="E11" s="164">
        <f t="shared" si="0"/>
        <v>429.0752974020179</v>
      </c>
      <c r="F11" s="165"/>
      <c r="G11" s="165"/>
      <c r="H11" s="166"/>
      <c r="J11" s="162"/>
      <c r="K11" s="170">
        <v>43525</v>
      </c>
      <c r="L11" s="171"/>
      <c r="M11" s="164"/>
      <c r="N11" s="164"/>
      <c r="O11" s="165"/>
      <c r="P11" s="165"/>
      <c r="Q11" s="166"/>
    </row>
    <row r="12" spans="1:17">
      <c r="A12" s="162">
        <v>4</v>
      </c>
      <c r="B12" s="170">
        <v>43556</v>
      </c>
      <c r="C12" s="171">
        <v>10000</v>
      </c>
      <c r="D12" s="164">
        <f>C12/POWER(1+F4,A12)</f>
        <v>9432.0305630369512</v>
      </c>
      <c r="E12" s="164">
        <f t="shared" si="0"/>
        <v>567.96943696304879</v>
      </c>
      <c r="F12" s="165"/>
      <c r="G12" s="165"/>
      <c r="H12" s="166"/>
      <c r="J12" s="162">
        <v>1</v>
      </c>
      <c r="K12" s="170">
        <v>43556</v>
      </c>
      <c r="L12" s="171">
        <v>12000</v>
      </c>
      <c r="M12" s="164">
        <f>L12/POWER(1+O4,J12)</f>
        <v>11825.854896311124</v>
      </c>
      <c r="N12" s="164">
        <f t="shared" ref="N12:N20" si="1">L12-M12</f>
        <v>174.14510368887568</v>
      </c>
      <c r="O12" s="165"/>
      <c r="P12" s="165"/>
      <c r="Q12" s="166"/>
    </row>
    <row r="13" spans="1:17">
      <c r="A13" s="162">
        <v>5</v>
      </c>
      <c r="B13" s="170">
        <v>43586</v>
      </c>
      <c r="C13" s="171">
        <v>10000</v>
      </c>
      <c r="D13" s="164">
        <f>C13/POWER(1+F4,A13)</f>
        <v>9295.1520680038921</v>
      </c>
      <c r="E13" s="164">
        <f t="shared" si="0"/>
        <v>704.84793199610795</v>
      </c>
      <c r="F13" s="165"/>
      <c r="G13" s="165"/>
      <c r="H13" s="166"/>
      <c r="J13" s="162">
        <v>2</v>
      </c>
      <c r="K13" s="170">
        <v>43586</v>
      </c>
      <c r="L13" s="171">
        <v>12000</v>
      </c>
      <c r="M13" s="164">
        <f>L13/POWER(1+O4,J13)</f>
        <v>11654.237002383816</v>
      </c>
      <c r="N13" s="164">
        <f t="shared" si="1"/>
        <v>345.76299761618429</v>
      </c>
      <c r="O13" s="165"/>
      <c r="P13" s="165"/>
      <c r="Q13" s="166"/>
    </row>
    <row r="14" spans="1:17">
      <c r="A14" s="162">
        <v>6</v>
      </c>
      <c r="B14" s="170">
        <v>43617</v>
      </c>
      <c r="C14" s="171">
        <v>10000</v>
      </c>
      <c r="D14" s="164">
        <f>C14/POWER(1+F4,A14)</f>
        <v>9160.2599662800258</v>
      </c>
      <c r="E14" s="164">
        <f t="shared" si="0"/>
        <v>839.74003371997424</v>
      </c>
      <c r="F14" s="165"/>
      <c r="G14" s="165"/>
      <c r="H14" s="166"/>
      <c r="J14" s="162">
        <v>3</v>
      </c>
      <c r="K14" s="170">
        <v>43617</v>
      </c>
      <c r="L14" s="171">
        <v>12000</v>
      </c>
      <c r="M14" s="164">
        <f>L14/POWER(1+O4,J14)</f>
        <v>11485.109643117577</v>
      </c>
      <c r="N14" s="164">
        <f t="shared" si="1"/>
        <v>514.89035688242257</v>
      </c>
      <c r="O14" s="165"/>
      <c r="P14" s="165"/>
      <c r="Q14" s="166"/>
    </row>
    <row r="15" spans="1:17">
      <c r="A15" s="162">
        <v>7</v>
      </c>
      <c r="B15" s="170">
        <v>43647</v>
      </c>
      <c r="C15" s="171">
        <v>10000</v>
      </c>
      <c r="D15" s="164">
        <f>C15/POWER(1+F4,A15)</f>
        <v>9027.32543114295</v>
      </c>
      <c r="E15" s="164">
        <f t="shared" si="0"/>
        <v>972.67456885704996</v>
      </c>
      <c r="F15" s="165"/>
      <c r="G15" s="165"/>
      <c r="H15" s="166"/>
      <c r="J15" s="162">
        <v>4</v>
      </c>
      <c r="K15" s="170">
        <v>43647</v>
      </c>
      <c r="L15" s="171">
        <v>12000</v>
      </c>
      <c r="M15" s="164">
        <f>L15/POWER(1+O4,J15)</f>
        <v>11318.436675644341</v>
      </c>
      <c r="N15" s="164">
        <f t="shared" si="1"/>
        <v>681.56332435565855</v>
      </c>
      <c r="O15" s="165"/>
      <c r="P15" s="165"/>
      <c r="Q15" s="166"/>
    </row>
    <row r="16" spans="1:17">
      <c r="A16" s="162">
        <v>8</v>
      </c>
      <c r="B16" s="170">
        <v>43678</v>
      </c>
      <c r="C16" s="171">
        <v>10000</v>
      </c>
      <c r="D16" s="164">
        <f>C16/POWER(1+F4,A16)</f>
        <v>8896.320054206315</v>
      </c>
      <c r="E16" s="164">
        <f t="shared" si="0"/>
        <v>1103.679945793685</v>
      </c>
      <c r="F16" s="165"/>
      <c r="G16" s="165"/>
      <c r="H16" s="166"/>
      <c r="J16" s="162">
        <v>5</v>
      </c>
      <c r="K16" s="170">
        <v>43678</v>
      </c>
      <c r="L16" s="171">
        <v>12000</v>
      </c>
      <c r="M16" s="164">
        <f>L16/POWER(1+O4,J16)</f>
        <v>11154.18248160467</v>
      </c>
      <c r="N16" s="164">
        <f t="shared" si="1"/>
        <v>845.8175183953299</v>
      </c>
      <c r="O16" s="165"/>
      <c r="P16" s="165"/>
      <c r="Q16" s="166"/>
    </row>
    <row r="17" spans="1:17">
      <c r="A17" s="162">
        <v>9</v>
      </c>
      <c r="B17" s="170">
        <v>43709</v>
      </c>
      <c r="C17" s="171">
        <v>10000</v>
      </c>
      <c r="D17" s="164">
        <f>C17/POWER(1+F4,A17)</f>
        <v>8767.2158393488844</v>
      </c>
      <c r="E17" s="164">
        <f t="shared" si="0"/>
        <v>1232.7841606511156</v>
      </c>
      <c r="F17" s="165"/>
      <c r="G17" s="165"/>
      <c r="H17" s="166"/>
      <c r="J17" s="162">
        <v>6</v>
      </c>
      <c r="K17" s="170">
        <v>43709</v>
      </c>
      <c r="L17" s="171">
        <v>12000</v>
      </c>
      <c r="M17" s="164">
        <f>L17/POWER(1+O4,J17)</f>
        <v>10992.311959536029</v>
      </c>
      <c r="N17" s="164">
        <f t="shared" si="1"/>
        <v>1007.6880404639705</v>
      </c>
      <c r="O17" s="165"/>
      <c r="P17" s="165"/>
      <c r="Q17" s="166"/>
    </row>
    <row r="18" spans="1:17">
      <c r="A18" s="162">
        <v>10</v>
      </c>
      <c r="B18" s="170">
        <v>43739</v>
      </c>
      <c r="C18" s="171">
        <v>10000</v>
      </c>
      <c r="D18" s="164">
        <f>C18/POWER(1+F4,A18)</f>
        <v>8639.9851967317027</v>
      </c>
      <c r="E18" s="164">
        <f t="shared" si="0"/>
        <v>1360.0148032682973</v>
      </c>
      <c r="F18" s="165"/>
      <c r="G18" s="165"/>
      <c r="H18" s="166"/>
      <c r="J18" s="162">
        <v>7</v>
      </c>
      <c r="K18" s="170">
        <v>43739</v>
      </c>
      <c r="L18" s="171">
        <v>12000</v>
      </c>
      <c r="M18" s="164">
        <f>L18/POWER(1+O4,J18)</f>
        <v>10832.790517371541</v>
      </c>
      <c r="N18" s="164">
        <f t="shared" si="1"/>
        <v>1167.2094826284592</v>
      </c>
      <c r="O18" s="165"/>
      <c r="P18" s="165"/>
      <c r="Q18" s="166"/>
    </row>
    <row r="19" spans="1:17">
      <c r="A19" s="162">
        <v>11</v>
      </c>
      <c r="B19" s="170">
        <v>43770</v>
      </c>
      <c r="C19" s="171">
        <v>10000</v>
      </c>
      <c r="D19" s="164">
        <f>C19/POWER(1+F4,A19)</f>
        <v>8514.6009369021031</v>
      </c>
      <c r="E19" s="164">
        <f t="shared" si="0"/>
        <v>1485.3990630978969</v>
      </c>
      <c r="F19" s="165"/>
      <c r="G19" s="165"/>
      <c r="H19" s="166"/>
      <c r="J19" s="162">
        <v>8</v>
      </c>
      <c r="K19" s="170">
        <v>43770</v>
      </c>
      <c r="L19" s="171">
        <v>12000</v>
      </c>
      <c r="M19" s="164">
        <f>L19/POWER(1+O4,J19)</f>
        <v>10675.584065047578</v>
      </c>
      <c r="N19" s="164">
        <f t="shared" si="1"/>
        <v>1324.4159349524216</v>
      </c>
      <c r="O19" s="165"/>
      <c r="P19" s="165"/>
      <c r="Q19" s="166"/>
    </row>
    <row r="20" spans="1:17">
      <c r="A20" s="162">
        <v>12</v>
      </c>
      <c r="B20" s="170">
        <v>43800</v>
      </c>
      <c r="C20" s="171">
        <v>10000</v>
      </c>
      <c r="D20" s="164">
        <f>C20/POWER(1+F4,A20)</f>
        <v>8391.0362649832514</v>
      </c>
      <c r="E20" s="164">
        <f t="shared" si="0"/>
        <v>1608.9637350167486</v>
      </c>
      <c r="F20" s="165"/>
      <c r="G20" s="165"/>
      <c r="H20" s="166"/>
      <c r="J20" s="162">
        <v>9</v>
      </c>
      <c r="K20" s="170">
        <v>43800</v>
      </c>
      <c r="L20" s="171">
        <v>12000</v>
      </c>
      <c r="M20" s="164">
        <f>L20/POWER(1+O4,J20)</f>
        <v>10520.659007218661</v>
      </c>
      <c r="N20" s="164">
        <f t="shared" si="1"/>
        <v>1479.3409927813391</v>
      </c>
      <c r="O20" s="165"/>
      <c r="P20" s="165"/>
      <c r="Q20" s="166"/>
    </row>
    <row r="21" spans="1:17">
      <c r="A21" s="162"/>
      <c r="B21" s="159"/>
      <c r="C21" s="172">
        <f>SUM(C9:C20)</f>
        <v>120000</v>
      </c>
      <c r="D21" s="173">
        <f>SUM(D9:D20)</f>
        <v>109261.59427214651</v>
      </c>
      <c r="E21" s="173">
        <f>SUM(E9:E20)</f>
        <v>10738.405727853493</v>
      </c>
      <c r="F21" s="168">
        <f>G7-D21</f>
        <v>32363.973896503521</v>
      </c>
      <c r="G21" s="168">
        <f>D21+E21</f>
        <v>120000</v>
      </c>
      <c r="H21" s="166"/>
      <c r="J21" s="162"/>
      <c r="K21" s="159"/>
      <c r="L21" s="172">
        <f>SUM(L9:L20)</f>
        <v>108000</v>
      </c>
      <c r="M21" s="173">
        <f>SUM(M9:M20)</f>
        <v>100459.16624823534</v>
      </c>
      <c r="N21" s="173">
        <f>SUM(N9:N20)</f>
        <v>7540.8337517646614</v>
      </c>
      <c r="O21" s="168">
        <f>P7-M21</f>
        <v>30654.746878340273</v>
      </c>
      <c r="P21" s="168">
        <f>M21+N21</f>
        <v>108000</v>
      </c>
      <c r="Q21" s="166"/>
    </row>
    <row r="22" spans="1:17">
      <c r="A22" s="162"/>
      <c r="B22" s="159"/>
      <c r="C22" s="159"/>
      <c r="D22" s="164"/>
      <c r="E22" s="162"/>
      <c r="F22" s="165"/>
      <c r="G22" s="165"/>
      <c r="H22" s="166"/>
      <c r="J22" s="162"/>
      <c r="K22" s="159"/>
      <c r="L22" s="159"/>
      <c r="M22" s="164"/>
      <c r="N22" s="162"/>
      <c r="O22" s="165"/>
      <c r="P22" s="165"/>
      <c r="Q22" s="166"/>
    </row>
    <row r="23" spans="1:17">
      <c r="A23" s="162">
        <v>13</v>
      </c>
      <c r="B23" s="170">
        <v>43831</v>
      </c>
      <c r="C23" s="171">
        <v>10000</v>
      </c>
      <c r="D23" s="164">
        <f>C23/POWER(1+F4,A23)</f>
        <v>8269.2647749480329</v>
      </c>
      <c r="E23" s="164">
        <f t="shared" ref="E23:E26" si="2">C23-D23</f>
        <v>1730.7352250519671</v>
      </c>
      <c r="F23" s="165"/>
      <c r="G23" s="165"/>
      <c r="H23" s="166"/>
      <c r="J23" s="162">
        <v>10</v>
      </c>
      <c r="K23" s="170">
        <v>43831</v>
      </c>
      <c r="L23" s="171">
        <v>12000</v>
      </c>
      <c r="M23" s="164">
        <f>L23/POWER(1+O4,J23)</f>
        <v>10367.982236078044</v>
      </c>
      <c r="N23" s="164">
        <f t="shared" ref="N23:N25" si="3">L23-M23</f>
        <v>1632.0177639219564</v>
      </c>
      <c r="O23" s="165"/>
      <c r="P23" s="165"/>
      <c r="Q23" s="166"/>
    </row>
    <row r="24" spans="1:17">
      <c r="A24" s="162">
        <v>14</v>
      </c>
      <c r="B24" s="170">
        <v>43862</v>
      </c>
      <c r="C24" s="171">
        <v>10000</v>
      </c>
      <c r="D24" s="164">
        <f>C24/POWER(1+F4,A24)</f>
        <v>8149.2604439760262</v>
      </c>
      <c r="E24" s="164">
        <f t="shared" si="2"/>
        <v>1850.7395560239738</v>
      </c>
      <c r="F24" s="165"/>
      <c r="G24" s="165"/>
      <c r="H24" s="166"/>
      <c r="J24" s="162">
        <v>11</v>
      </c>
      <c r="K24" s="170">
        <v>43862</v>
      </c>
      <c r="L24" s="171">
        <v>12000</v>
      </c>
      <c r="M24" s="164">
        <f>L24/POWER(1+O4,J24)</f>
        <v>10217.521124282524</v>
      </c>
      <c r="N24" s="164">
        <f t="shared" si="3"/>
        <v>1782.4788757174756</v>
      </c>
      <c r="O24" s="165"/>
      <c r="P24" s="165"/>
      <c r="Q24" s="166"/>
    </row>
    <row r="25" spans="1:17">
      <c r="A25" s="162">
        <v>15</v>
      </c>
      <c r="B25" s="170">
        <v>43891</v>
      </c>
      <c r="C25" s="171">
        <v>10000</v>
      </c>
      <c r="D25" s="164">
        <f>C25/POWER(1+F4,A25)</f>
        <v>8030.9976268923701</v>
      </c>
      <c r="E25" s="164">
        <f t="shared" si="2"/>
        <v>1969.0023731076299</v>
      </c>
      <c r="F25" s="165"/>
      <c r="G25" s="165"/>
      <c r="H25" s="166"/>
      <c r="J25" s="162">
        <v>12</v>
      </c>
      <c r="K25" s="170">
        <v>43891</v>
      </c>
      <c r="L25" s="171">
        <v>12000</v>
      </c>
      <c r="M25" s="164">
        <f>L25/POWER(1+O4,J25)</f>
        <v>10069.243517979903</v>
      </c>
      <c r="N25" s="164">
        <f t="shared" si="3"/>
        <v>1930.7564820200969</v>
      </c>
      <c r="O25" s="165"/>
      <c r="P25" s="165"/>
      <c r="Q25" s="166"/>
    </row>
    <row r="26" spans="1:17">
      <c r="A26" s="162">
        <v>16</v>
      </c>
      <c r="B26" s="170">
        <v>43922</v>
      </c>
      <c r="C26" s="171">
        <v>10000</v>
      </c>
      <c r="D26" s="164">
        <f>C26/POWER(1+F4,A26)</f>
        <v>7914.4510506873467</v>
      </c>
      <c r="E26" s="164">
        <f t="shared" si="2"/>
        <v>2085.5489493126533</v>
      </c>
      <c r="F26" s="165"/>
      <c r="G26" s="165"/>
      <c r="H26" s="166"/>
      <c r="J26" s="162"/>
      <c r="K26" s="170"/>
      <c r="L26" s="171"/>
      <c r="M26" s="164"/>
      <c r="N26" s="164"/>
      <c r="O26" s="165"/>
      <c r="P26" s="165"/>
      <c r="Q26" s="166"/>
    </row>
    <row r="27" spans="1:17">
      <c r="A27" s="162"/>
      <c r="B27" s="159"/>
      <c r="C27" s="172">
        <f>SUM(C23:C26)</f>
        <v>40000</v>
      </c>
      <c r="D27" s="173">
        <f>SUM(D23:D26)</f>
        <v>32363.973896503776</v>
      </c>
      <c r="E27" s="173">
        <f>SUM(E23:E26)</f>
        <v>7636.0261034962241</v>
      </c>
      <c r="F27" s="168">
        <f>F21-D27</f>
        <v>-2.5465851649641991E-10</v>
      </c>
      <c r="G27" s="165"/>
      <c r="H27" s="166"/>
      <c r="J27" s="162"/>
      <c r="K27" s="159"/>
      <c r="L27" s="172">
        <f>SUM(L23:L26)</f>
        <v>36000</v>
      </c>
      <c r="M27" s="173">
        <f>SUM(M23:M26)</f>
        <v>30654.746878340473</v>
      </c>
      <c r="N27" s="173">
        <f>SUM(N23:N26)</f>
        <v>5345.2531216595289</v>
      </c>
      <c r="O27" s="168">
        <f>O21-M27</f>
        <v>-2.0008883439004421E-10</v>
      </c>
      <c r="P27" s="165"/>
      <c r="Q27" s="166"/>
    </row>
    <row r="28" spans="1:17">
      <c r="A28" s="162"/>
      <c r="B28" s="159"/>
      <c r="C28" s="159"/>
      <c r="D28" s="164"/>
      <c r="E28" s="162"/>
      <c r="F28" s="165"/>
      <c r="G28" s="165"/>
      <c r="H28" s="166"/>
      <c r="J28" s="162"/>
      <c r="K28" s="159"/>
      <c r="L28" s="159"/>
      <c r="M28" s="164"/>
      <c r="N28" s="162"/>
      <c r="O28" s="165"/>
      <c r="P28" s="165"/>
      <c r="Q28" s="166"/>
    </row>
    <row r="29" spans="1:17">
      <c r="A29" s="162"/>
      <c r="B29" s="170"/>
      <c r="C29" s="171"/>
      <c r="D29" s="164">
        <f>D21+D27</f>
        <v>141625.56816865029</v>
      </c>
      <c r="E29" s="164"/>
      <c r="F29" s="165"/>
      <c r="G29" s="165"/>
      <c r="H29" s="166"/>
      <c r="J29" s="162"/>
      <c r="K29" s="170"/>
      <c r="L29" s="171"/>
      <c r="M29" s="164">
        <f>M21+M27</f>
        <v>131113.91312657582</v>
      </c>
      <c r="N29" s="164"/>
      <c r="O29" s="165"/>
      <c r="P29" s="165"/>
      <c r="Q29" s="166"/>
    </row>
    <row r="30" spans="1:17">
      <c r="A30" s="162"/>
      <c r="B30" s="170"/>
      <c r="C30" s="171"/>
      <c r="D30" s="164"/>
      <c r="E30" s="164"/>
      <c r="F30" s="165"/>
      <c r="G30" s="165"/>
      <c r="H30" s="166"/>
      <c r="J30" s="162"/>
      <c r="K30" s="170"/>
      <c r="L30" s="171"/>
      <c r="M30" s="164"/>
      <c r="N30" s="164"/>
      <c r="O30" s="165"/>
      <c r="P30" s="165"/>
      <c r="Q30" s="166"/>
    </row>
    <row r="33" spans="1:15">
      <c r="A33" s="166"/>
      <c r="B33" s="166"/>
      <c r="C33" s="166" t="s">
        <v>1274</v>
      </c>
      <c r="D33" s="166"/>
      <c r="E33" s="166"/>
      <c r="F33" s="166"/>
      <c r="G33" s="166"/>
      <c r="I33" s="166"/>
      <c r="J33" s="166"/>
      <c r="K33" s="166" t="s">
        <v>1274</v>
      </c>
      <c r="L33" s="166"/>
      <c r="M33" s="166"/>
      <c r="N33" s="166"/>
      <c r="O33" s="166"/>
    </row>
    <row r="34" spans="1:15" ht="60">
      <c r="A34" s="180" t="s">
        <v>1260</v>
      </c>
      <c r="B34" s="181" t="s">
        <v>1275</v>
      </c>
      <c r="C34" s="182" t="s">
        <v>1276</v>
      </c>
      <c r="D34" s="182" t="s">
        <v>1277</v>
      </c>
      <c r="E34" s="181" t="s">
        <v>1278</v>
      </c>
      <c r="F34" s="182" t="s">
        <v>1279</v>
      </c>
      <c r="G34" s="182" t="s">
        <v>1280</v>
      </c>
      <c r="I34" s="180" t="s">
        <v>1260</v>
      </c>
      <c r="J34" s="181" t="s">
        <v>1275</v>
      </c>
      <c r="K34" s="182" t="s">
        <v>1276</v>
      </c>
      <c r="L34" s="182" t="s">
        <v>1277</v>
      </c>
      <c r="M34" s="181" t="s">
        <v>1278</v>
      </c>
      <c r="N34" s="182" t="s">
        <v>1279</v>
      </c>
      <c r="O34" s="182" t="s">
        <v>1280</v>
      </c>
    </row>
    <row r="35" spans="1:15">
      <c r="A35" s="181"/>
      <c r="B35" s="181"/>
      <c r="C35" s="185"/>
      <c r="D35" s="183"/>
      <c r="E35" s="183"/>
      <c r="F35" s="183"/>
      <c r="G35" s="183"/>
      <c r="I35" s="181"/>
      <c r="J35" s="181"/>
      <c r="K35" s="185"/>
      <c r="L35" s="183"/>
      <c r="M35" s="183"/>
      <c r="N35" s="183"/>
      <c r="O35" s="183"/>
    </row>
    <row r="36" spans="1:15">
      <c r="A36" s="181"/>
      <c r="B36" s="181">
        <v>2019</v>
      </c>
      <c r="C36" s="185" t="s">
        <v>1308</v>
      </c>
      <c r="D36" s="183">
        <f>G7</f>
        <v>141625.56816865003</v>
      </c>
      <c r="E36" s="183">
        <f>D36/16*12</f>
        <v>106219.17612648752</v>
      </c>
      <c r="F36" s="183">
        <f>E35+E36</f>
        <v>106219.17612648752</v>
      </c>
      <c r="G36" s="183">
        <f>D36-F36</f>
        <v>35406.392042162508</v>
      </c>
      <c r="I36" s="181"/>
      <c r="J36" s="181">
        <v>2019</v>
      </c>
      <c r="K36" s="185" t="s">
        <v>1411</v>
      </c>
      <c r="L36" s="183">
        <f>P7</f>
        <v>131113.91312657562</v>
      </c>
      <c r="M36" s="183">
        <f>L36/12*9</f>
        <v>98335.434844931704</v>
      </c>
      <c r="N36" s="183">
        <f>M35+M36</f>
        <v>98335.434844931704</v>
      </c>
      <c r="O36" s="183">
        <f>L36-N36</f>
        <v>32778.478281643911</v>
      </c>
    </row>
    <row r="37" spans="1:15">
      <c r="A37" s="181"/>
      <c r="B37" s="181">
        <v>2020</v>
      </c>
      <c r="C37" s="185" t="s">
        <v>1309</v>
      </c>
      <c r="D37" s="183">
        <f>G7</f>
        <v>141625.56816865003</v>
      </c>
      <c r="E37" s="183">
        <f>D37/16*4</f>
        <v>35406.392042162508</v>
      </c>
      <c r="F37" s="183">
        <f>F36+E37</f>
        <v>141625.56816865003</v>
      </c>
      <c r="G37" s="183">
        <f>D37-F37</f>
        <v>0</v>
      </c>
      <c r="I37" s="181"/>
      <c r="J37" s="181">
        <v>2020</v>
      </c>
      <c r="K37" s="185" t="s">
        <v>1412</v>
      </c>
      <c r="L37" s="183">
        <f>P7</f>
        <v>131113.91312657562</v>
      </c>
      <c r="M37" s="183">
        <f>L37/12*3</f>
        <v>32778.478281643904</v>
      </c>
      <c r="N37" s="183">
        <f>N36+M37</f>
        <v>131113.91312657562</v>
      </c>
      <c r="O37" s="183">
        <f>L37-N37</f>
        <v>0</v>
      </c>
    </row>
    <row r="38" spans="1:15">
      <c r="A38" s="181"/>
      <c r="B38" s="181"/>
      <c r="C38" s="185"/>
      <c r="D38" s="183"/>
      <c r="E38" s="183"/>
      <c r="F38" s="183"/>
      <c r="G38" s="183"/>
      <c r="I38" s="181"/>
      <c r="J38" s="181"/>
      <c r="K38" s="185"/>
      <c r="L38" s="183"/>
      <c r="M38" s="183"/>
      <c r="N38" s="183"/>
      <c r="O38" s="183"/>
    </row>
    <row r="39" spans="1:15">
      <c r="A39" s="166"/>
      <c r="B39" s="166"/>
      <c r="C39" s="166"/>
      <c r="D39" s="166"/>
      <c r="E39" s="184">
        <f>SUM(E35:E38)</f>
        <v>141625.56816865003</v>
      </c>
      <c r="F39" s="166"/>
      <c r="G39" s="166"/>
      <c r="I39" s="166"/>
      <c r="J39" s="166"/>
      <c r="K39" s="166"/>
      <c r="L39" s="166"/>
      <c r="M39" s="184">
        <f>SUM(M35:M38)</f>
        <v>131113.91312657562</v>
      </c>
      <c r="N39" s="166"/>
      <c r="O39" s="166"/>
    </row>
  </sheetData>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dimension ref="A2:O53"/>
  <sheetViews>
    <sheetView topLeftCell="A23" zoomScale="140" zoomScaleNormal="140" workbookViewId="0">
      <selection activeCell="M14" sqref="M14"/>
    </sheetView>
  </sheetViews>
  <sheetFormatPr defaultColWidth="10.85546875" defaultRowHeight="15"/>
  <cols>
    <col min="1" max="1" width="10.85546875" style="166"/>
    <col min="2" max="2" width="17.140625" style="166" customWidth="1"/>
    <col min="3" max="16384" width="10.85546875" style="166"/>
  </cols>
  <sheetData>
    <row r="2" spans="1:15" ht="165">
      <c r="B2" s="159" t="s">
        <v>1248</v>
      </c>
      <c r="C2" s="159" t="s">
        <v>1249</v>
      </c>
      <c r="D2" s="160" t="s">
        <v>1250</v>
      </c>
      <c r="E2" s="161" t="s">
        <v>1251</v>
      </c>
      <c r="F2" s="161" t="s">
        <v>1252</v>
      </c>
      <c r="G2" s="162" t="s">
        <v>1253</v>
      </c>
      <c r="H2" s="162" t="s">
        <v>1254</v>
      </c>
    </row>
    <row r="3" spans="1:15">
      <c r="B3" s="178" t="s">
        <v>1296</v>
      </c>
      <c r="C3" s="163" t="s">
        <v>1298</v>
      </c>
      <c r="D3" s="164" t="s">
        <v>1297</v>
      </c>
      <c r="E3" s="177">
        <v>0.17670952862091799</v>
      </c>
      <c r="F3" s="164">
        <f>E3/12</f>
        <v>1.4725794051743166E-2</v>
      </c>
      <c r="G3" s="164">
        <v>29</v>
      </c>
      <c r="H3" s="164">
        <v>45000</v>
      </c>
    </row>
    <row r="4" spans="1:15">
      <c r="B4" s="166" t="s">
        <v>1299</v>
      </c>
      <c r="F4" s="179">
        <f>F3</f>
        <v>1.4725794051743166E-2</v>
      </c>
    </row>
    <row r="6" spans="1:15">
      <c r="A6" s="165"/>
      <c r="C6" s="167" t="s">
        <v>1258</v>
      </c>
      <c r="D6" s="168"/>
      <c r="E6" s="165"/>
      <c r="F6" s="165"/>
      <c r="G6" s="169"/>
    </row>
    <row r="7" spans="1:15">
      <c r="A7" s="165"/>
      <c r="B7" s="167"/>
      <c r="C7" s="167"/>
      <c r="D7" s="168"/>
      <c r="E7" s="165"/>
      <c r="F7" s="165" t="s">
        <v>1259</v>
      </c>
      <c r="G7" s="169">
        <f>-PV(F3,G3,H3)</f>
        <v>1055901.5606519831</v>
      </c>
      <c r="K7" s="166" t="s">
        <v>1274</v>
      </c>
    </row>
    <row r="8" spans="1:15" ht="60">
      <c r="A8" s="162" t="s">
        <v>1260</v>
      </c>
      <c r="B8" s="159" t="s">
        <v>1261</v>
      </c>
      <c r="C8" s="159" t="s">
        <v>1262</v>
      </c>
      <c r="D8" s="160" t="s">
        <v>1263</v>
      </c>
      <c r="E8" s="162" t="s">
        <v>1264</v>
      </c>
      <c r="F8" s="165"/>
      <c r="G8" s="165"/>
      <c r="I8" s="180" t="s">
        <v>1260</v>
      </c>
      <c r="J8" s="181" t="s">
        <v>1275</v>
      </c>
      <c r="K8" s="182" t="s">
        <v>1276</v>
      </c>
      <c r="L8" s="182" t="s">
        <v>1277</v>
      </c>
      <c r="M8" s="181" t="s">
        <v>1278</v>
      </c>
      <c r="N8" s="182" t="s">
        <v>1279</v>
      </c>
      <c r="O8" s="182" t="s">
        <v>1280</v>
      </c>
    </row>
    <row r="9" spans="1:15">
      <c r="A9" s="162"/>
      <c r="B9" s="176"/>
      <c r="C9" s="171"/>
      <c r="D9" s="164"/>
      <c r="E9" s="164"/>
      <c r="F9" s="165"/>
      <c r="G9" s="165"/>
      <c r="I9" s="181"/>
      <c r="J9" s="181"/>
      <c r="K9" s="185"/>
      <c r="L9" s="183"/>
      <c r="M9" s="183"/>
      <c r="N9" s="183"/>
      <c r="O9" s="183"/>
    </row>
    <row r="10" spans="1:15">
      <c r="A10" s="162"/>
      <c r="B10" s="170"/>
      <c r="C10" s="171"/>
      <c r="D10" s="164"/>
      <c r="E10" s="164"/>
      <c r="F10" s="165"/>
      <c r="G10" s="165"/>
      <c r="I10" s="181"/>
      <c r="J10" s="181">
        <v>2019</v>
      </c>
      <c r="K10" s="185" t="s">
        <v>1416</v>
      </c>
      <c r="L10" s="183">
        <f>G7</f>
        <v>1055901.5606519831</v>
      </c>
      <c r="M10" s="183">
        <f>L10/29*3</f>
        <v>109231.1959295155</v>
      </c>
      <c r="N10" s="183">
        <f>M9+M10</f>
        <v>109231.1959295155</v>
      </c>
      <c r="O10" s="183">
        <f>L10-N10</f>
        <v>946670.36472246761</v>
      </c>
    </row>
    <row r="11" spans="1:15">
      <c r="A11" s="162"/>
      <c r="B11" s="170"/>
      <c r="C11" s="171"/>
      <c r="D11" s="164"/>
      <c r="E11" s="164"/>
      <c r="F11" s="165"/>
      <c r="G11" s="165"/>
      <c r="I11" s="181"/>
      <c r="J11" s="181">
        <v>2020</v>
      </c>
      <c r="K11" s="185" t="s">
        <v>1417</v>
      </c>
      <c r="L11" s="183">
        <f>G7</f>
        <v>1055901.5606519831</v>
      </c>
      <c r="M11" s="183">
        <f>L11/29*12</f>
        <v>436924.78371806198</v>
      </c>
      <c r="N11" s="183">
        <f>N10+M11</f>
        <v>546155.97964757751</v>
      </c>
      <c r="O11" s="183">
        <f>L11-N11</f>
        <v>509745.58100440563</v>
      </c>
    </row>
    <row r="12" spans="1:15">
      <c r="A12" s="162"/>
      <c r="B12" s="170"/>
      <c r="C12" s="171"/>
      <c r="D12" s="164"/>
      <c r="E12" s="164"/>
      <c r="F12" s="165"/>
      <c r="G12" s="165"/>
      <c r="I12" s="181"/>
      <c r="J12" s="181">
        <v>2021</v>
      </c>
      <c r="K12" s="185" t="s">
        <v>1417</v>
      </c>
      <c r="L12" s="183">
        <f>G7</f>
        <v>1055901.5606519831</v>
      </c>
      <c r="M12" s="183">
        <f>M11</f>
        <v>436924.78371806198</v>
      </c>
      <c r="N12" s="183">
        <f>N11+M12</f>
        <v>983080.76336563949</v>
      </c>
      <c r="O12" s="183">
        <f>L12-N12</f>
        <v>72820.797286343644</v>
      </c>
    </row>
    <row r="13" spans="1:15">
      <c r="A13" s="162"/>
      <c r="B13" s="170"/>
      <c r="C13" s="171"/>
      <c r="D13" s="164"/>
      <c r="E13" s="164"/>
      <c r="F13" s="165"/>
      <c r="G13" s="165"/>
      <c r="I13" s="181"/>
      <c r="J13" s="181">
        <v>2022</v>
      </c>
      <c r="K13" s="185" t="s">
        <v>1418</v>
      </c>
      <c r="L13" s="183">
        <f>G7</f>
        <v>1055901.5606519831</v>
      </c>
      <c r="M13" s="183">
        <f>L13/29*2</f>
        <v>72820.797286343659</v>
      </c>
      <c r="N13" s="183">
        <f>N12+M13</f>
        <v>1055901.5606519831</v>
      </c>
      <c r="O13" s="181">
        <v>0</v>
      </c>
    </row>
    <row r="14" spans="1:15">
      <c r="A14" s="162"/>
      <c r="B14" s="170"/>
      <c r="C14" s="171"/>
      <c r="D14" s="164"/>
      <c r="E14" s="164"/>
      <c r="F14" s="165"/>
      <c r="G14" s="165"/>
      <c r="M14" s="184">
        <f>SUM(M10:M13)</f>
        <v>1055901.5606519831</v>
      </c>
    </row>
    <row r="15" spans="1:15">
      <c r="A15" s="162">
        <v>1</v>
      </c>
      <c r="B15" s="170" t="s">
        <v>1413</v>
      </c>
      <c r="C15" s="171">
        <f>H3</f>
        <v>45000</v>
      </c>
      <c r="D15" s="164">
        <f>C15/POWER(1+F3,A15)</f>
        <v>44346.955861166716</v>
      </c>
      <c r="E15" s="164">
        <f t="shared" ref="E15:E17" si="0">C15-D15</f>
        <v>653.0441388332838</v>
      </c>
      <c r="F15" s="165"/>
      <c r="G15" s="165"/>
    </row>
    <row r="16" spans="1:15">
      <c r="A16" s="162">
        <v>2</v>
      </c>
      <c r="B16" s="170" t="s">
        <v>1414</v>
      </c>
      <c r="C16" s="171">
        <f>H3</f>
        <v>45000</v>
      </c>
      <c r="D16" s="164">
        <f t="shared" ref="D16" si="1">C16/POWER(1+F4,A16)</f>
        <v>43703.388758939313</v>
      </c>
      <c r="E16" s="164">
        <f t="shared" si="0"/>
        <v>1296.6112410606875</v>
      </c>
      <c r="F16" s="165"/>
      <c r="G16" s="165"/>
    </row>
    <row r="17" spans="1:7">
      <c r="A17" s="162">
        <v>3</v>
      </c>
      <c r="B17" s="170" t="s">
        <v>1415</v>
      </c>
      <c r="C17" s="171">
        <v>45000</v>
      </c>
      <c r="D17" s="164">
        <f>C17/POWER(1+F3,A17)</f>
        <v>43069.161161690914</v>
      </c>
      <c r="E17" s="164">
        <f t="shared" si="0"/>
        <v>1930.838838309086</v>
      </c>
      <c r="F17" s="165"/>
      <c r="G17" s="165"/>
    </row>
    <row r="18" spans="1:7">
      <c r="A18" s="162"/>
      <c r="B18" s="159"/>
      <c r="C18" s="172">
        <f>SUM(C15:C17)</f>
        <v>135000</v>
      </c>
      <c r="D18" s="173">
        <f>SUM(D15:D17)</f>
        <v>131119.50578179694</v>
      </c>
      <c r="E18" s="173">
        <f>SUM(E15:E17)</f>
        <v>3880.4942182030572</v>
      </c>
      <c r="F18" s="169">
        <f>G7-D18</f>
        <v>924782.05487018614</v>
      </c>
      <c r="G18" s="168">
        <f>D18+E18</f>
        <v>135000</v>
      </c>
    </row>
    <row r="19" spans="1:7">
      <c r="A19" s="162"/>
      <c r="B19" s="159"/>
      <c r="C19" s="159"/>
      <c r="D19" s="164"/>
      <c r="E19" s="162"/>
      <c r="F19" s="165"/>
      <c r="G19" s="165"/>
    </row>
    <row r="20" spans="1:7">
      <c r="A20" s="162">
        <v>4</v>
      </c>
      <c r="B20" s="170">
        <v>43831</v>
      </c>
      <c r="C20" s="171">
        <v>45000</v>
      </c>
      <c r="D20" s="164">
        <f>C20/POWER(1+F4,A20)</f>
        <v>42444.137533666282</v>
      </c>
      <c r="E20" s="164">
        <f t="shared" ref="E20:E31" si="2">C20-D20</f>
        <v>2555.8624663337177</v>
      </c>
      <c r="F20" s="165"/>
      <c r="G20" s="165"/>
    </row>
    <row r="21" spans="1:7">
      <c r="A21" s="162">
        <v>5</v>
      </c>
      <c r="B21" s="170">
        <v>43862</v>
      </c>
      <c r="C21" s="171">
        <v>45000</v>
      </c>
      <c r="D21" s="164">
        <f>C21/POWER(1+F4,A21)</f>
        <v>41828.184306017516</v>
      </c>
      <c r="E21" s="164">
        <f t="shared" si="2"/>
        <v>3171.8156939824839</v>
      </c>
      <c r="F21" s="165"/>
      <c r="G21" s="165"/>
    </row>
    <row r="22" spans="1:7">
      <c r="A22" s="162">
        <v>6</v>
      </c>
      <c r="B22" s="170">
        <v>43891</v>
      </c>
      <c r="C22" s="171">
        <v>45000</v>
      </c>
      <c r="D22" s="164">
        <f>C22/POWER(1+F4,A22)</f>
        <v>41221.169848260113</v>
      </c>
      <c r="E22" s="164">
        <f t="shared" si="2"/>
        <v>3778.8301517398868</v>
      </c>
      <c r="F22" s="165"/>
      <c r="G22" s="165"/>
    </row>
    <row r="23" spans="1:7">
      <c r="A23" s="162">
        <v>7</v>
      </c>
      <c r="B23" s="170">
        <v>43922</v>
      </c>
      <c r="C23" s="171">
        <v>45000</v>
      </c>
      <c r="D23" s="164">
        <f>C23/POWER(1+F4,A23)</f>
        <v>40622.964440143274</v>
      </c>
      <c r="E23" s="164">
        <f t="shared" si="2"/>
        <v>4377.0355598567257</v>
      </c>
      <c r="F23" s="165"/>
      <c r="G23" s="165"/>
    </row>
    <row r="24" spans="1:7">
      <c r="A24" s="162">
        <v>8</v>
      </c>
      <c r="B24" s="170">
        <v>43952</v>
      </c>
      <c r="C24" s="171">
        <v>45000</v>
      </c>
      <c r="D24" s="164">
        <f>C24/POWER(1+F4,A24)</f>
        <v>40033.440243928424</v>
      </c>
      <c r="E24" s="164">
        <f t="shared" si="2"/>
        <v>4966.559756071576</v>
      </c>
      <c r="F24" s="165"/>
      <c r="G24" s="165"/>
    </row>
    <row r="25" spans="1:7">
      <c r="A25" s="162">
        <v>9</v>
      </c>
      <c r="B25" s="170">
        <v>43983</v>
      </c>
      <c r="C25" s="171">
        <v>45000</v>
      </c>
      <c r="D25" s="164">
        <f>C25/POWER(1+F4,A25)</f>
        <v>39452.471277069977</v>
      </c>
      <c r="E25" s="164">
        <f t="shared" si="2"/>
        <v>5547.5287229300229</v>
      </c>
      <c r="F25" s="165"/>
      <c r="G25" s="165"/>
    </row>
    <row r="26" spans="1:7">
      <c r="A26" s="162">
        <v>10</v>
      </c>
      <c r="B26" s="170">
        <v>44013</v>
      </c>
      <c r="C26" s="171">
        <v>45000</v>
      </c>
      <c r="D26" s="164">
        <f>C26/POWER(1+F4,A26)</f>
        <v>38879.933385292665</v>
      </c>
      <c r="E26" s="164">
        <f t="shared" si="2"/>
        <v>6120.0666147073352</v>
      </c>
      <c r="F26" s="165"/>
      <c r="G26" s="165"/>
    </row>
    <row r="27" spans="1:7">
      <c r="A27" s="162">
        <v>11</v>
      </c>
      <c r="B27" s="170">
        <v>44044</v>
      </c>
      <c r="C27" s="171">
        <v>45000</v>
      </c>
      <c r="D27" s="164">
        <f>C27/POWER(1+F4,A27)</f>
        <v>38315.704216059465</v>
      </c>
      <c r="E27" s="164">
        <f t="shared" si="2"/>
        <v>6684.2957839405353</v>
      </c>
      <c r="F27" s="165"/>
      <c r="G27" s="165"/>
    </row>
    <row r="28" spans="1:7">
      <c r="A28" s="162">
        <v>12</v>
      </c>
      <c r="B28" s="170">
        <v>44075</v>
      </c>
      <c r="C28" s="171">
        <v>45000</v>
      </c>
      <c r="D28" s="164">
        <f>C28/POWER(1+F4,A28)</f>
        <v>37759.663192424632</v>
      </c>
      <c r="E28" s="164">
        <f t="shared" si="2"/>
        <v>7240.3368075753679</v>
      </c>
      <c r="F28" s="165"/>
      <c r="G28" s="165"/>
    </row>
    <row r="29" spans="1:7">
      <c r="A29" s="162">
        <v>13</v>
      </c>
      <c r="B29" s="170">
        <v>44105</v>
      </c>
      <c r="C29" s="171">
        <v>45000</v>
      </c>
      <c r="D29" s="164">
        <f>C29/POWER(1+F4,A29)</f>
        <v>37211.691487266151</v>
      </c>
      <c r="E29" s="164">
        <f t="shared" si="2"/>
        <v>7788.3085127338491</v>
      </c>
      <c r="F29" s="165"/>
      <c r="G29" s="165"/>
    </row>
    <row r="30" spans="1:7">
      <c r="A30" s="162">
        <v>14</v>
      </c>
      <c r="B30" s="170">
        <v>44136</v>
      </c>
      <c r="C30" s="171">
        <v>45000</v>
      </c>
      <c r="D30" s="164">
        <f>C30/POWER(1+F4,A30)</f>
        <v>36671.671997892117</v>
      </c>
      <c r="E30" s="164">
        <f t="shared" si="2"/>
        <v>8328.3280021078826</v>
      </c>
      <c r="F30" s="165"/>
      <c r="G30" s="165"/>
    </row>
    <row r="31" spans="1:7">
      <c r="A31" s="162">
        <v>15</v>
      </c>
      <c r="B31" s="170">
        <v>44166</v>
      </c>
      <c r="C31" s="171">
        <v>45000</v>
      </c>
      <c r="D31" s="164">
        <f>C31/POWER(1+F4,A31)</f>
        <v>36139.489321015666</v>
      </c>
      <c r="E31" s="164">
        <f t="shared" si="2"/>
        <v>8860.5106789843339</v>
      </c>
      <c r="F31" s="165"/>
      <c r="G31" s="165"/>
    </row>
    <row r="32" spans="1:7">
      <c r="A32" s="162"/>
      <c r="B32" s="159"/>
      <c r="C32" s="172">
        <f>SUM(C20:C31)</f>
        <v>540000</v>
      </c>
      <c r="D32" s="173">
        <f>SUM(D20:D31)</f>
        <v>470580.5212490363</v>
      </c>
      <c r="E32" s="173">
        <f>SUM(E20:E31)</f>
        <v>69419.478750963724</v>
      </c>
      <c r="F32" s="169">
        <f>F18-D32</f>
        <v>454201.53362114984</v>
      </c>
      <c r="G32" s="165"/>
    </row>
    <row r="33" spans="1:7">
      <c r="A33" s="162"/>
      <c r="B33" s="159"/>
      <c r="C33" s="159"/>
      <c r="D33" s="164"/>
      <c r="E33" s="162"/>
      <c r="F33" s="165"/>
      <c r="G33" s="165"/>
    </row>
    <row r="34" spans="1:7">
      <c r="A34" s="162">
        <v>16</v>
      </c>
      <c r="B34" s="170">
        <v>44197</v>
      </c>
      <c r="C34" s="171">
        <v>45000</v>
      </c>
      <c r="D34" s="164">
        <f>C34/POWER(1+F4,A34)</f>
        <v>35615.029728093061</v>
      </c>
      <c r="E34" s="164">
        <f t="shared" ref="E34:E45" si="3">C34-D34</f>
        <v>9384.9702719069392</v>
      </c>
      <c r="F34" s="165"/>
      <c r="G34" s="165"/>
    </row>
    <row r="35" spans="1:7">
      <c r="A35" s="162">
        <v>17</v>
      </c>
      <c r="B35" s="170">
        <v>44228</v>
      </c>
      <c r="C35" s="171">
        <v>45000</v>
      </c>
      <c r="D35" s="164">
        <f>C35/POWER(1+F4,A35)</f>
        <v>35098.181141019631</v>
      </c>
      <c r="E35" s="164">
        <f t="shared" si="3"/>
        <v>9901.8188589803685</v>
      </c>
      <c r="F35" s="165"/>
      <c r="G35" s="165"/>
    </row>
    <row r="36" spans="1:7">
      <c r="A36" s="162">
        <v>18</v>
      </c>
      <c r="B36" s="170">
        <v>44256</v>
      </c>
      <c r="C36" s="171">
        <v>45000</v>
      </c>
      <c r="D36" s="164">
        <f>C36/POWER(1+F4,A36)</f>
        <v>34588.833108178485</v>
      </c>
      <c r="E36" s="164">
        <f t="shared" si="3"/>
        <v>10411.166891821515</v>
      </c>
      <c r="F36" s="165"/>
      <c r="G36" s="165"/>
    </row>
    <row r="37" spans="1:7">
      <c r="A37" s="162">
        <v>19</v>
      </c>
      <c r="B37" s="170">
        <v>44287</v>
      </c>
      <c r="C37" s="171">
        <v>45000</v>
      </c>
      <c r="D37" s="164">
        <f>C37/POWER(1+F4,A37)</f>
        <v>34086.876780836734</v>
      </c>
      <c r="E37" s="164">
        <f t="shared" si="3"/>
        <v>10913.123219163266</v>
      </c>
      <c r="F37" s="165"/>
      <c r="G37" s="165"/>
    </row>
    <row r="38" spans="1:7">
      <c r="A38" s="162">
        <v>20</v>
      </c>
      <c r="B38" s="170">
        <v>44317</v>
      </c>
      <c r="C38" s="171">
        <v>45000</v>
      </c>
      <c r="D38" s="164">
        <f>C38/POWER(1+F4,A38)</f>
        <v>33592.204889884335</v>
      </c>
      <c r="E38" s="164">
        <f t="shared" si="3"/>
        <v>11407.795110115665</v>
      </c>
      <c r="F38" s="165"/>
      <c r="G38" s="165"/>
    </row>
    <row r="39" spans="1:7">
      <c r="A39" s="162">
        <v>21</v>
      </c>
      <c r="B39" s="170">
        <v>44348</v>
      </c>
      <c r="C39" s="171">
        <v>45000</v>
      </c>
      <c r="D39" s="164">
        <f>C39/POWER(1+F4,A39)</f>
        <v>33104.711722910433</v>
      </c>
      <c r="E39" s="164">
        <f t="shared" si="3"/>
        <v>11895.288277089567</v>
      </c>
      <c r="F39" s="165"/>
      <c r="G39" s="165"/>
    </row>
    <row r="40" spans="1:7">
      <c r="A40" s="162">
        <v>22</v>
      </c>
      <c r="B40" s="170">
        <v>44378</v>
      </c>
      <c r="C40" s="171">
        <v>45000</v>
      </c>
      <c r="D40" s="164">
        <f>C40/POWER(1+F4,A40)</f>
        <v>32624.293101612388</v>
      </c>
      <c r="E40" s="164">
        <f t="shared" si="3"/>
        <v>12375.706898387612</v>
      </c>
      <c r="F40" s="165"/>
      <c r="G40" s="165"/>
    </row>
    <row r="41" spans="1:7">
      <c r="A41" s="162">
        <v>23</v>
      </c>
      <c r="B41" s="170">
        <v>44409</v>
      </c>
      <c r="C41" s="171">
        <v>45000</v>
      </c>
      <c r="D41" s="164">
        <f>C41/POWER(1+F4,A41)</f>
        <v>32150.846359532668</v>
      </c>
      <c r="E41" s="164">
        <f t="shared" si="3"/>
        <v>12849.153640467332</v>
      </c>
      <c r="F41" s="165"/>
      <c r="G41" s="165"/>
    </row>
    <row r="42" spans="1:7">
      <c r="A42" s="162">
        <v>24</v>
      </c>
      <c r="B42" s="170">
        <v>44440</v>
      </c>
      <c r="C42" s="171">
        <v>45000</v>
      </c>
      <c r="D42" s="164">
        <f>C42/POWER(1+F4,A42)</f>
        <v>31684.270320118841</v>
      </c>
      <c r="E42" s="164">
        <f t="shared" si="3"/>
        <v>13315.729679881159</v>
      </c>
      <c r="F42" s="165"/>
      <c r="G42" s="165"/>
    </row>
    <row r="43" spans="1:7">
      <c r="A43" s="162">
        <v>25</v>
      </c>
      <c r="B43" s="170">
        <v>44470</v>
      </c>
      <c r="C43" s="171">
        <v>45000</v>
      </c>
      <c r="D43" s="164">
        <f>C43/POWER(1+F4,A43)</f>
        <v>31224.465275101884</v>
      </c>
      <c r="E43" s="164">
        <f t="shared" si="3"/>
        <v>13775.534724898116</v>
      </c>
      <c r="F43" s="165"/>
      <c r="G43" s="165"/>
    </row>
    <row r="44" spans="1:7">
      <c r="A44" s="162">
        <v>26</v>
      </c>
      <c r="B44" s="170">
        <v>44501</v>
      </c>
      <c r="C44" s="171">
        <v>45000</v>
      </c>
      <c r="D44" s="164">
        <f>C44/POWER(1+F4,A44)</f>
        <v>30771.332963188361</v>
      </c>
      <c r="E44" s="164">
        <f t="shared" si="3"/>
        <v>14228.667036811639</v>
      </c>
      <c r="F44" s="165"/>
      <c r="G44" s="165"/>
    </row>
    <row r="45" spans="1:7">
      <c r="A45" s="162">
        <v>27</v>
      </c>
      <c r="B45" s="170">
        <v>44531</v>
      </c>
      <c r="C45" s="171">
        <v>45000</v>
      </c>
      <c r="D45" s="164">
        <f>C45/POWER(1+F4,A45)</f>
        <v>30324.776549061746</v>
      </c>
      <c r="E45" s="164">
        <f t="shared" si="3"/>
        <v>14675.223450938254</v>
      </c>
      <c r="F45" s="165"/>
      <c r="G45" s="165"/>
    </row>
    <row r="46" spans="1:7">
      <c r="A46" s="162"/>
      <c r="B46" s="167"/>
      <c r="C46" s="174">
        <f>SUM(C34:C45)</f>
        <v>540000</v>
      </c>
      <c r="D46" s="175">
        <f>SUM(D34:D45)</f>
        <v>394865.82193953858</v>
      </c>
      <c r="E46" s="175">
        <f>SUM(E34:E45)</f>
        <v>145134.17806046142</v>
      </c>
      <c r="F46" s="169">
        <f>F32-D46</f>
        <v>59335.711681611254</v>
      </c>
      <c r="G46" s="165"/>
    </row>
    <row r="47" spans="1:7">
      <c r="A47" s="162"/>
      <c r="B47" s="167"/>
      <c r="C47" s="167"/>
      <c r="D47" s="175"/>
      <c r="E47" s="165"/>
      <c r="F47" s="165"/>
      <c r="G47" s="165"/>
    </row>
    <row r="48" spans="1:7">
      <c r="A48" s="162"/>
    </row>
    <row r="49" spans="1:6">
      <c r="A49" s="162">
        <v>28</v>
      </c>
      <c r="B49" s="170">
        <v>44562</v>
      </c>
      <c r="C49" s="171">
        <v>45000</v>
      </c>
      <c r="D49" s="164">
        <f>C49/POWER(1+F4,A49)</f>
        <v>29884.70060268855</v>
      </c>
      <c r="E49" s="164">
        <f t="shared" ref="E49:E50" si="4">C49-D49</f>
        <v>15115.29939731145</v>
      </c>
    </row>
    <row r="50" spans="1:6">
      <c r="A50" s="162">
        <v>29</v>
      </c>
      <c r="B50" s="170">
        <v>44593</v>
      </c>
      <c r="C50" s="171">
        <v>45000</v>
      </c>
      <c r="D50" s="164">
        <f>C50/POWER(1+F4,A50)</f>
        <v>29451.011078924701</v>
      </c>
      <c r="E50" s="164">
        <f t="shared" si="4"/>
        <v>15548.988921075299</v>
      </c>
    </row>
    <row r="51" spans="1:6">
      <c r="C51" s="186">
        <f>SUM(C49:C50)</f>
        <v>90000</v>
      </c>
      <c r="D51" s="186">
        <f>SUM(D49:D50)</f>
        <v>59335.711681613247</v>
      </c>
      <c r="E51" s="179">
        <f>SUM(E49:E50)</f>
        <v>30664.288318386749</v>
      </c>
      <c r="F51" s="184">
        <f>F46-D51</f>
        <v>-1.9936123862862587E-9</v>
      </c>
    </row>
    <row r="53" spans="1:6">
      <c r="D53" s="179">
        <f>D51+D46+D32+D18</f>
        <v>1055901.560651985</v>
      </c>
    </row>
  </sheetData>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dimension ref="A2:O100"/>
  <sheetViews>
    <sheetView topLeftCell="A25" zoomScale="140" zoomScaleNormal="140" workbookViewId="0">
      <selection activeCell="G86" sqref="G86"/>
    </sheetView>
  </sheetViews>
  <sheetFormatPr defaultColWidth="10.85546875" defaultRowHeight="15"/>
  <cols>
    <col min="1" max="1" width="10.85546875" style="166"/>
    <col min="2" max="2" width="17.140625" style="166" customWidth="1"/>
    <col min="3" max="16384" width="10.85546875" style="166"/>
  </cols>
  <sheetData>
    <row r="2" spans="1:15" ht="165">
      <c r="B2" s="159" t="s">
        <v>1248</v>
      </c>
      <c r="C2" s="159" t="s">
        <v>1249</v>
      </c>
      <c r="D2" s="160" t="s">
        <v>1250</v>
      </c>
      <c r="E2" s="161" t="s">
        <v>1251</v>
      </c>
      <c r="F2" s="161" t="s">
        <v>1252</v>
      </c>
      <c r="G2" s="162" t="s">
        <v>1253</v>
      </c>
      <c r="H2" s="162" t="s">
        <v>1254</v>
      </c>
    </row>
    <row r="3" spans="1:15">
      <c r="B3" s="178" t="s">
        <v>1300</v>
      </c>
      <c r="C3" s="163" t="s">
        <v>1281</v>
      </c>
      <c r="D3" s="164" t="s">
        <v>1302</v>
      </c>
      <c r="E3" s="177">
        <v>0.17670952862091799</v>
      </c>
      <c r="F3" s="164">
        <f>E3/12</f>
        <v>1.4725794051743166E-2</v>
      </c>
      <c r="G3" s="164">
        <v>24</v>
      </c>
      <c r="H3" s="164">
        <v>15000</v>
      </c>
    </row>
    <row r="4" spans="1:15">
      <c r="B4" s="166" t="s">
        <v>1301</v>
      </c>
      <c r="F4" s="179">
        <f>F3</f>
        <v>1.4725794051743166E-2</v>
      </c>
    </row>
    <row r="6" spans="1:15">
      <c r="A6" s="165"/>
      <c r="C6" s="167" t="s">
        <v>1258</v>
      </c>
      <c r="D6" s="168"/>
      <c r="E6" s="165"/>
      <c r="F6" s="165"/>
      <c r="G6" s="169"/>
    </row>
    <row r="7" spans="1:15">
      <c r="A7" s="165"/>
      <c r="B7" s="167"/>
      <c r="C7" s="167"/>
      <c r="D7" s="168"/>
      <c r="E7" s="165"/>
      <c r="F7" s="165" t="s">
        <v>1259</v>
      </c>
      <c r="G7" s="169">
        <f>-PV(F3,G3,H3)</f>
        <v>301415.09139433946</v>
      </c>
      <c r="K7" s="166" t="s">
        <v>1274</v>
      </c>
    </row>
    <row r="8" spans="1:15" ht="60">
      <c r="A8" s="162" t="s">
        <v>1260</v>
      </c>
      <c r="B8" s="159" t="s">
        <v>1261</v>
      </c>
      <c r="C8" s="159" t="s">
        <v>1262</v>
      </c>
      <c r="D8" s="160" t="s">
        <v>1263</v>
      </c>
      <c r="E8" s="162" t="s">
        <v>1264</v>
      </c>
      <c r="F8" s="165"/>
      <c r="G8" s="165"/>
      <c r="I8" s="180" t="s">
        <v>1260</v>
      </c>
      <c r="J8" s="181" t="s">
        <v>1275</v>
      </c>
      <c r="K8" s="182" t="s">
        <v>1276</v>
      </c>
      <c r="L8" s="182" t="s">
        <v>1277</v>
      </c>
      <c r="M8" s="181" t="s">
        <v>1278</v>
      </c>
      <c r="N8" s="182" t="s">
        <v>1279</v>
      </c>
      <c r="O8" s="182" t="s">
        <v>1280</v>
      </c>
    </row>
    <row r="9" spans="1:15">
      <c r="A9" s="162"/>
      <c r="B9" s="176" t="s">
        <v>1256</v>
      </c>
      <c r="C9" s="171"/>
      <c r="D9" s="164"/>
      <c r="E9" s="164"/>
      <c r="F9" s="165"/>
      <c r="G9" s="165"/>
      <c r="I9" s="181"/>
      <c r="J9" s="181"/>
      <c r="K9" s="185"/>
      <c r="L9" s="183"/>
      <c r="M9" s="183"/>
      <c r="N9" s="183"/>
      <c r="O9" s="183"/>
    </row>
    <row r="10" spans="1:15">
      <c r="A10" s="162"/>
      <c r="B10" s="170" t="s">
        <v>1265</v>
      </c>
      <c r="C10" s="171"/>
      <c r="D10" s="164"/>
      <c r="E10" s="164"/>
      <c r="F10" s="165"/>
      <c r="G10" s="165"/>
      <c r="I10" s="181"/>
      <c r="J10" s="181">
        <v>2019</v>
      </c>
      <c r="K10" s="185" t="s">
        <v>1303</v>
      </c>
      <c r="L10" s="183">
        <f>G7</f>
        <v>301415.09139433946</v>
      </c>
      <c r="M10" s="183">
        <f>L10/24*12</f>
        <v>150707.54569716973</v>
      </c>
      <c r="N10" s="183">
        <f>M9+M10</f>
        <v>150707.54569716973</v>
      </c>
      <c r="O10" s="183">
        <f>L10-N10</f>
        <v>150707.54569716973</v>
      </c>
    </row>
    <row r="11" spans="1:15">
      <c r="A11" s="162"/>
      <c r="B11" s="170" t="s">
        <v>1266</v>
      </c>
      <c r="C11" s="171"/>
      <c r="D11" s="164"/>
      <c r="E11" s="164"/>
      <c r="F11" s="165"/>
      <c r="G11" s="165"/>
      <c r="I11" s="181"/>
      <c r="J11" s="181">
        <v>2020</v>
      </c>
      <c r="K11" s="185" t="s">
        <v>1303</v>
      </c>
      <c r="L11" s="183">
        <f>G7</f>
        <v>301415.09139433946</v>
      </c>
      <c r="M11" s="183">
        <f>L11/24*12</f>
        <v>150707.54569716973</v>
      </c>
      <c r="N11" s="183">
        <f>N10+M11</f>
        <v>301415.09139433946</v>
      </c>
      <c r="O11" s="183">
        <f>L11-N11</f>
        <v>0</v>
      </c>
    </row>
    <row r="12" spans="1:15">
      <c r="A12" s="162"/>
      <c r="B12" s="170" t="s">
        <v>1267</v>
      </c>
      <c r="C12" s="171"/>
      <c r="D12" s="164"/>
      <c r="E12" s="164"/>
      <c r="F12" s="165"/>
      <c r="G12" s="165"/>
      <c r="I12" s="181"/>
      <c r="J12" s="181"/>
      <c r="K12" s="185"/>
      <c r="L12" s="183"/>
      <c r="M12" s="183"/>
      <c r="N12" s="183"/>
      <c r="O12" s="183"/>
    </row>
    <row r="13" spans="1:15">
      <c r="A13" s="162"/>
      <c r="B13" s="170" t="s">
        <v>1268</v>
      </c>
      <c r="C13" s="171"/>
      <c r="D13" s="164"/>
      <c r="E13" s="164"/>
      <c r="F13" s="165"/>
      <c r="G13" s="165"/>
      <c r="M13" s="184">
        <f>SUM(M9:M12)</f>
        <v>301415.09139433946</v>
      </c>
    </row>
    <row r="14" spans="1:15">
      <c r="A14" s="162"/>
      <c r="B14" s="170" t="s">
        <v>1269</v>
      </c>
      <c r="C14" s="171"/>
      <c r="D14" s="164"/>
      <c r="E14" s="164"/>
      <c r="F14" s="165"/>
      <c r="G14" s="165"/>
    </row>
    <row r="15" spans="1:15">
      <c r="A15" s="162"/>
      <c r="B15" s="170" t="s">
        <v>1270</v>
      </c>
      <c r="C15" s="171"/>
      <c r="D15" s="164"/>
      <c r="E15" s="164"/>
      <c r="F15" s="165"/>
      <c r="G15" s="165"/>
    </row>
    <row r="16" spans="1:15">
      <c r="A16" s="162"/>
      <c r="B16" s="170" t="s">
        <v>1271</v>
      </c>
      <c r="C16" s="171"/>
      <c r="D16" s="164"/>
      <c r="E16" s="164"/>
      <c r="F16" s="165"/>
      <c r="G16" s="165"/>
    </row>
    <row r="17" spans="1:7">
      <c r="A17" s="162"/>
      <c r="B17" s="170" t="s">
        <v>1272</v>
      </c>
      <c r="C17" s="171"/>
      <c r="D17" s="164"/>
      <c r="E17" s="164"/>
      <c r="F17" s="165"/>
      <c r="G17" s="165"/>
    </row>
    <row r="18" spans="1:7">
      <c r="A18" s="162"/>
      <c r="B18" s="170" t="s">
        <v>1273</v>
      </c>
      <c r="C18" s="171"/>
      <c r="D18" s="164"/>
      <c r="E18" s="164"/>
      <c r="F18" s="165"/>
      <c r="G18" s="165"/>
    </row>
    <row r="19" spans="1:7">
      <c r="A19" s="162"/>
      <c r="B19" s="159"/>
      <c r="C19" s="172"/>
      <c r="D19" s="173"/>
      <c r="E19" s="173"/>
      <c r="F19" s="165"/>
      <c r="G19" s="165"/>
    </row>
    <row r="20" spans="1:7">
      <c r="A20" s="162"/>
      <c r="B20" s="159"/>
      <c r="C20" s="159"/>
      <c r="D20" s="164"/>
      <c r="E20" s="162"/>
      <c r="F20" s="165"/>
      <c r="G20" s="165"/>
    </row>
    <row r="21" spans="1:7">
      <c r="A21" s="162">
        <v>1</v>
      </c>
      <c r="B21" s="170">
        <v>43466</v>
      </c>
      <c r="C21" s="171">
        <v>15000</v>
      </c>
      <c r="D21" s="164">
        <f>C21/POWER(1+F4,A21)</f>
        <v>14782.318620388905</v>
      </c>
      <c r="E21" s="164">
        <f t="shared" ref="E21:E32" si="0">C21-D21</f>
        <v>217.6813796110946</v>
      </c>
      <c r="F21" s="165"/>
      <c r="G21" s="165"/>
    </row>
    <row r="22" spans="1:7">
      <c r="A22" s="162">
        <v>2</v>
      </c>
      <c r="B22" s="170">
        <v>43497</v>
      </c>
      <c r="C22" s="171">
        <v>15000</v>
      </c>
      <c r="D22" s="164">
        <f>C22/POWER(1+F4,A22)</f>
        <v>14567.79625297977</v>
      </c>
      <c r="E22" s="164">
        <f t="shared" si="0"/>
        <v>432.20374702023037</v>
      </c>
      <c r="F22" s="165"/>
      <c r="G22" s="165"/>
    </row>
    <row r="23" spans="1:7">
      <c r="A23" s="162">
        <v>3</v>
      </c>
      <c r="B23" s="170">
        <v>43525</v>
      </c>
      <c r="C23" s="171">
        <v>15000</v>
      </c>
      <c r="D23" s="164">
        <f>C23/POWER(1+F4,A23)</f>
        <v>14356.387053896971</v>
      </c>
      <c r="E23" s="164">
        <f t="shared" si="0"/>
        <v>643.61294610302866</v>
      </c>
      <c r="F23" s="165"/>
      <c r="G23" s="165"/>
    </row>
    <row r="24" spans="1:7">
      <c r="A24" s="162">
        <v>4</v>
      </c>
      <c r="B24" s="170">
        <v>43556</v>
      </c>
      <c r="C24" s="171">
        <v>15000</v>
      </c>
      <c r="D24" s="164">
        <f>C24/POWER(1+F4,A24)</f>
        <v>14148.045844555427</v>
      </c>
      <c r="E24" s="164">
        <f t="shared" si="0"/>
        <v>851.95415544457319</v>
      </c>
      <c r="F24" s="165"/>
      <c r="G24" s="165"/>
    </row>
    <row r="25" spans="1:7">
      <c r="A25" s="162">
        <v>5</v>
      </c>
      <c r="B25" s="170">
        <v>43586</v>
      </c>
      <c r="C25" s="171">
        <v>15000</v>
      </c>
      <c r="D25" s="164">
        <f>C25/POWER(1+F4,A25)</f>
        <v>13942.728102005838</v>
      </c>
      <c r="E25" s="164">
        <f t="shared" si="0"/>
        <v>1057.2718979941619</v>
      </c>
      <c r="F25" s="165"/>
      <c r="G25" s="165"/>
    </row>
    <row r="26" spans="1:7">
      <c r="A26" s="162">
        <v>6</v>
      </c>
      <c r="B26" s="170">
        <v>43617</v>
      </c>
      <c r="C26" s="171">
        <v>15000</v>
      </c>
      <c r="D26" s="164">
        <f>C26/POWER(1+F4,A26)</f>
        <v>13740.389949420038</v>
      </c>
      <c r="E26" s="164">
        <f t="shared" si="0"/>
        <v>1259.6100505799623</v>
      </c>
      <c r="F26" s="165"/>
      <c r="G26" s="165"/>
    </row>
    <row r="27" spans="1:7">
      <c r="A27" s="162">
        <v>7</v>
      </c>
      <c r="B27" s="170">
        <v>43647</v>
      </c>
      <c r="C27" s="171">
        <v>15000</v>
      </c>
      <c r="D27" s="164">
        <f>C27/POWER(1+F4,A27)</f>
        <v>13540.988146714424</v>
      </c>
      <c r="E27" s="164">
        <f t="shared" si="0"/>
        <v>1459.0118532855759</v>
      </c>
      <c r="F27" s="165"/>
      <c r="G27" s="165"/>
    </row>
    <row r="28" spans="1:7">
      <c r="A28" s="162">
        <v>8</v>
      </c>
      <c r="B28" s="170">
        <v>43678</v>
      </c>
      <c r="C28" s="171">
        <v>15000</v>
      </c>
      <c r="D28" s="164">
        <f>C28/POWER(1+F4,A28)</f>
        <v>13344.480081309473</v>
      </c>
      <c r="E28" s="164">
        <f t="shared" si="0"/>
        <v>1655.5199186905265</v>
      </c>
      <c r="F28" s="165"/>
      <c r="G28" s="165"/>
    </row>
    <row r="29" spans="1:7">
      <c r="A29" s="162">
        <v>9</v>
      </c>
      <c r="B29" s="170">
        <v>43709</v>
      </c>
      <c r="C29" s="171">
        <v>15000</v>
      </c>
      <c r="D29" s="164">
        <f>C29/POWER(1+F4,A29)</f>
        <v>13150.823759023326</v>
      </c>
      <c r="E29" s="164">
        <f t="shared" si="0"/>
        <v>1849.1762409766743</v>
      </c>
      <c r="F29" s="165"/>
      <c r="G29" s="165"/>
    </row>
    <row r="30" spans="1:7">
      <c r="A30" s="162">
        <v>10</v>
      </c>
      <c r="B30" s="170">
        <v>43739</v>
      </c>
      <c r="C30" s="171">
        <v>15000</v>
      </c>
      <c r="D30" s="164">
        <f>C30/POWER(1+F4,A30)</f>
        <v>12959.977795097555</v>
      </c>
      <c r="E30" s="164">
        <f t="shared" si="0"/>
        <v>2040.0222049024451</v>
      </c>
      <c r="F30" s="165"/>
      <c r="G30" s="165"/>
    </row>
    <row r="31" spans="1:7">
      <c r="A31" s="162">
        <v>11</v>
      </c>
      <c r="B31" s="170">
        <v>43770</v>
      </c>
      <c r="C31" s="171">
        <v>15000</v>
      </c>
      <c r="D31" s="164">
        <f>C31/POWER(1+F4,A31)</f>
        <v>12771.901405353155</v>
      </c>
      <c r="E31" s="164">
        <f t="shared" si="0"/>
        <v>2228.0985946468445</v>
      </c>
      <c r="F31" s="165"/>
      <c r="G31" s="165"/>
    </row>
    <row r="32" spans="1:7">
      <c r="A32" s="162">
        <v>12</v>
      </c>
      <c r="B32" s="170">
        <v>43800</v>
      </c>
      <c r="C32" s="171">
        <v>15000</v>
      </c>
      <c r="D32" s="164">
        <f>C32/POWER(1+F4,A32)</f>
        <v>12586.554397474878</v>
      </c>
      <c r="E32" s="164">
        <f t="shared" si="0"/>
        <v>2413.445602525122</v>
      </c>
      <c r="F32" s="165"/>
      <c r="G32" s="165"/>
    </row>
    <row r="33" spans="1:7">
      <c r="A33" s="162"/>
      <c r="B33" s="159"/>
      <c r="C33" s="172">
        <f>SUM(C21:C32)</f>
        <v>180000</v>
      </c>
      <c r="D33" s="173">
        <f>SUM(D21:D32)</f>
        <v>163892.39140821979</v>
      </c>
      <c r="E33" s="173">
        <f>SUM(E21:E32)</f>
        <v>16107.608591780239</v>
      </c>
      <c r="F33" s="169">
        <f>G7-D33</f>
        <v>137522.69998611967</v>
      </c>
      <c r="G33" s="165"/>
    </row>
    <row r="34" spans="1:7">
      <c r="A34" s="162"/>
      <c r="B34" s="159"/>
      <c r="C34" s="159"/>
      <c r="D34" s="164"/>
      <c r="E34" s="162"/>
      <c r="F34" s="165"/>
      <c r="G34" s="165"/>
    </row>
    <row r="35" spans="1:7">
      <c r="A35" s="162">
        <v>13</v>
      </c>
      <c r="B35" s="170">
        <v>43831</v>
      </c>
      <c r="C35" s="171">
        <v>15000</v>
      </c>
      <c r="D35" s="164">
        <f>C35/POWER(1+F4,A35)</f>
        <v>12403.89716242205</v>
      </c>
      <c r="E35" s="164">
        <f t="shared" ref="E35:E44" si="1">C35-D35</f>
        <v>2596.1028375779497</v>
      </c>
      <c r="F35" s="165"/>
      <c r="G35" s="165"/>
    </row>
    <row r="36" spans="1:7">
      <c r="A36" s="162">
        <v>14</v>
      </c>
      <c r="B36" s="170">
        <v>43862</v>
      </c>
      <c r="C36" s="171">
        <v>15000</v>
      </c>
      <c r="D36" s="164">
        <f>C36/POWER(1+F4,A36)</f>
        <v>12223.89066596404</v>
      </c>
      <c r="E36" s="164">
        <f t="shared" si="1"/>
        <v>2776.1093340359603</v>
      </c>
      <c r="F36" s="165"/>
      <c r="G36" s="165"/>
    </row>
    <row r="37" spans="1:7">
      <c r="A37" s="162">
        <v>15</v>
      </c>
      <c r="B37" s="170">
        <v>43891</v>
      </c>
      <c r="C37" s="171">
        <v>15000</v>
      </c>
      <c r="D37" s="164">
        <f>C37/POWER(1+F4,A37)</f>
        <v>12046.496440338555</v>
      </c>
      <c r="E37" s="164">
        <f t="shared" si="1"/>
        <v>2953.5035596614453</v>
      </c>
      <c r="F37" s="165"/>
      <c r="G37" s="165"/>
    </row>
    <row r="38" spans="1:7">
      <c r="A38" s="162">
        <v>16</v>
      </c>
      <c r="B38" s="170">
        <v>43922</v>
      </c>
      <c r="C38" s="171">
        <v>15000</v>
      </c>
      <c r="D38" s="164">
        <f>C38/POWER(1+F4,A38)</f>
        <v>11871.676576031021</v>
      </c>
      <c r="E38" s="164">
        <f t="shared" si="1"/>
        <v>3128.3234239689791</v>
      </c>
      <c r="F38" s="165"/>
      <c r="G38" s="165"/>
    </row>
    <row r="39" spans="1:7">
      <c r="A39" s="162">
        <v>17</v>
      </c>
      <c r="B39" s="170">
        <v>43952</v>
      </c>
      <c r="C39" s="171">
        <v>15000</v>
      </c>
      <c r="D39" s="164">
        <f>C39/POWER(1+F4,A39)</f>
        <v>11699.393713673211</v>
      </c>
      <c r="E39" s="164">
        <f t="shared" si="1"/>
        <v>3300.6062863267889</v>
      </c>
      <c r="F39" s="165"/>
      <c r="G39" s="165"/>
    </row>
    <row r="40" spans="1:7">
      <c r="A40" s="162">
        <v>18</v>
      </c>
      <c r="B40" s="170">
        <v>43983</v>
      </c>
      <c r="C40" s="171">
        <v>15000</v>
      </c>
      <c r="D40" s="164">
        <f>C40/POWER(1+F4,A40)</f>
        <v>11529.611036059494</v>
      </c>
      <c r="E40" s="164">
        <f t="shared" si="1"/>
        <v>3470.3889639405061</v>
      </c>
      <c r="F40" s="165"/>
      <c r="G40" s="165"/>
    </row>
    <row r="41" spans="1:7">
      <c r="A41" s="162">
        <v>19</v>
      </c>
      <c r="B41" s="170">
        <v>44013</v>
      </c>
      <c r="C41" s="171">
        <v>15000</v>
      </c>
      <c r="D41" s="164">
        <f>C41/POWER(1+F4,A41)</f>
        <v>11362.292260278911</v>
      </c>
      <c r="E41" s="164">
        <f t="shared" si="1"/>
        <v>3637.7077397210887</v>
      </c>
      <c r="F41" s="165"/>
      <c r="G41" s="165"/>
    </row>
    <row r="42" spans="1:7">
      <c r="A42" s="162">
        <v>20</v>
      </c>
      <c r="B42" s="170">
        <v>44044</v>
      </c>
      <c r="C42" s="171">
        <v>15000</v>
      </c>
      <c r="D42" s="164">
        <f>C42/POWER(1+F4,A42)</f>
        <v>11197.401629961445</v>
      </c>
      <c r="E42" s="164">
        <f t="shared" si="1"/>
        <v>3802.598370038555</v>
      </c>
      <c r="F42" s="165"/>
      <c r="G42" s="165"/>
    </row>
    <row r="43" spans="1:7">
      <c r="A43" s="162">
        <v>21</v>
      </c>
      <c r="B43" s="170">
        <v>44075</v>
      </c>
      <c r="C43" s="171">
        <v>15000</v>
      </c>
      <c r="D43" s="164">
        <f>C43/POWER(1+F4,A43)</f>
        <v>11034.903907636812</v>
      </c>
      <c r="E43" s="164">
        <f t="shared" si="1"/>
        <v>3965.0960923631883</v>
      </c>
      <c r="F43" s="165"/>
      <c r="G43" s="165"/>
    </row>
    <row r="44" spans="1:7">
      <c r="A44" s="162">
        <v>22</v>
      </c>
      <c r="B44" s="170">
        <v>44105</v>
      </c>
      <c r="C44" s="171">
        <v>15000</v>
      </c>
      <c r="D44" s="164">
        <f>C44/POWER(1+F4,A44)</f>
        <v>10874.764367204129</v>
      </c>
      <c r="E44" s="164">
        <f t="shared" si="1"/>
        <v>4125.2356327958714</v>
      </c>
      <c r="F44" s="165"/>
      <c r="G44" s="165"/>
    </row>
    <row r="45" spans="1:7">
      <c r="A45" s="162">
        <v>23</v>
      </c>
      <c r="B45" s="170">
        <v>44136</v>
      </c>
      <c r="C45" s="171">
        <v>15000</v>
      </c>
      <c r="D45" s="164">
        <f>C45/POWER(1+F4,A45)</f>
        <v>10716.948786510889</v>
      </c>
      <c r="E45" s="164">
        <f>C45-D45</f>
        <v>4283.0512134891105</v>
      </c>
      <c r="F45" s="165"/>
      <c r="G45" s="165"/>
    </row>
    <row r="46" spans="1:7">
      <c r="A46" s="162">
        <v>24</v>
      </c>
      <c r="B46" s="170">
        <v>1.202</v>
      </c>
      <c r="C46" s="171">
        <v>15000</v>
      </c>
      <c r="D46" s="164">
        <f>C46/POWER(1+F3,A46)</f>
        <v>10561.423440039614</v>
      </c>
      <c r="E46" s="164">
        <f>C46-D46</f>
        <v>4438.5765599603856</v>
      </c>
      <c r="F46" s="165"/>
      <c r="G46" s="165"/>
    </row>
    <row r="47" spans="1:7">
      <c r="C47" s="186">
        <f>SUM(C35:C46)</f>
        <v>180000</v>
      </c>
      <c r="D47" s="186">
        <f>SUM(D35:D46)</f>
        <v>137522.69998612019</v>
      </c>
      <c r="E47" s="186">
        <f>SUM(E35:E46)</f>
        <v>42477.300013879823</v>
      </c>
      <c r="F47" s="184">
        <f>F33-D47</f>
        <v>-5.2386894822120667E-10</v>
      </c>
    </row>
    <row r="49" spans="1:15">
      <c r="D49" s="179">
        <f>D33+D47</f>
        <v>301415.09139433998</v>
      </c>
    </row>
    <row r="54" spans="1:15" ht="165">
      <c r="B54" s="159" t="s">
        <v>1248</v>
      </c>
      <c r="C54" s="159" t="s">
        <v>1249</v>
      </c>
      <c r="D54" s="160" t="s">
        <v>1250</v>
      </c>
      <c r="E54" s="161" t="s">
        <v>1251</v>
      </c>
      <c r="F54" s="161" t="s">
        <v>1252</v>
      </c>
      <c r="G54" s="162" t="s">
        <v>1253</v>
      </c>
      <c r="H54" s="162" t="s">
        <v>1254</v>
      </c>
    </row>
    <row r="55" spans="1:15">
      <c r="B55" s="178" t="s">
        <v>1300</v>
      </c>
      <c r="C55" s="163" t="s">
        <v>1281</v>
      </c>
      <c r="D55" s="164" t="s">
        <v>1305</v>
      </c>
      <c r="E55" s="177">
        <v>0.17670952862091799</v>
      </c>
      <c r="F55" s="164">
        <f>E55/12</f>
        <v>1.4725794051743166E-2</v>
      </c>
      <c r="G55" s="164">
        <v>14</v>
      </c>
      <c r="H55" s="164">
        <v>15000</v>
      </c>
    </row>
    <row r="56" spans="1:15">
      <c r="B56" s="166" t="s">
        <v>1304</v>
      </c>
      <c r="F56" s="179">
        <f>F55</f>
        <v>1.4725794051743166E-2</v>
      </c>
    </row>
    <row r="58" spans="1:15">
      <c r="A58" s="165"/>
      <c r="C58" s="167" t="s">
        <v>1258</v>
      </c>
      <c r="D58" s="168"/>
      <c r="E58" s="165"/>
      <c r="F58" s="165"/>
      <c r="G58" s="169"/>
    </row>
    <row r="59" spans="1:15">
      <c r="A59" s="165"/>
      <c r="B59" s="167"/>
      <c r="C59" s="167"/>
      <c r="D59" s="168"/>
      <c r="E59" s="165"/>
      <c r="F59" s="165" t="s">
        <v>1259</v>
      </c>
      <c r="G59" s="169">
        <f>-PV(F55,G55,H55)</f>
        <v>188520.17923660553</v>
      </c>
      <c r="K59" s="166" t="s">
        <v>1274</v>
      </c>
    </row>
    <row r="60" spans="1:15" ht="60">
      <c r="A60" s="162" t="s">
        <v>1260</v>
      </c>
      <c r="B60" s="159" t="s">
        <v>1261</v>
      </c>
      <c r="C60" s="159" t="s">
        <v>1262</v>
      </c>
      <c r="D60" s="160" t="s">
        <v>1263</v>
      </c>
      <c r="E60" s="162" t="s">
        <v>1264</v>
      </c>
      <c r="F60" s="165"/>
      <c r="G60" s="165"/>
      <c r="I60" s="180" t="s">
        <v>1260</v>
      </c>
      <c r="J60" s="181" t="s">
        <v>1275</v>
      </c>
      <c r="K60" s="182" t="s">
        <v>1276</v>
      </c>
      <c r="L60" s="182" t="s">
        <v>1277</v>
      </c>
      <c r="M60" s="181" t="s">
        <v>1278</v>
      </c>
      <c r="N60" s="182" t="s">
        <v>1279</v>
      </c>
      <c r="O60" s="182" t="s">
        <v>1280</v>
      </c>
    </row>
    <row r="61" spans="1:15">
      <c r="A61" s="162"/>
      <c r="B61" s="176"/>
      <c r="C61" s="171"/>
      <c r="D61" s="164"/>
      <c r="E61" s="164"/>
      <c r="F61" s="165"/>
      <c r="G61" s="165"/>
      <c r="I61" s="181"/>
      <c r="J61" s="181"/>
      <c r="K61" s="185"/>
      <c r="L61" s="183"/>
      <c r="M61" s="183"/>
      <c r="N61" s="183"/>
      <c r="O61" s="183"/>
    </row>
    <row r="62" spans="1:15">
      <c r="A62" s="162"/>
      <c r="B62" s="170"/>
      <c r="C62" s="171"/>
      <c r="D62" s="164"/>
      <c r="E62" s="164"/>
      <c r="F62" s="165"/>
      <c r="G62" s="165"/>
      <c r="I62" s="181"/>
      <c r="J62" s="181">
        <v>2019</v>
      </c>
      <c r="K62" s="185" t="s">
        <v>1303</v>
      </c>
      <c r="L62" s="183">
        <f>G59</f>
        <v>188520.17923660553</v>
      </c>
      <c r="M62" s="183">
        <f>L62/14*12</f>
        <v>161588.72505994758</v>
      </c>
      <c r="N62" s="183">
        <f>M61+M62</f>
        <v>161588.72505994758</v>
      </c>
      <c r="O62" s="183">
        <f>L62-N62</f>
        <v>26931.45417665795</v>
      </c>
    </row>
    <row r="63" spans="1:15">
      <c r="A63" s="162"/>
      <c r="B63" s="170"/>
      <c r="C63" s="171"/>
      <c r="D63" s="164"/>
      <c r="E63" s="164"/>
      <c r="F63" s="165"/>
      <c r="G63" s="165"/>
      <c r="I63" s="181"/>
      <c r="J63" s="181">
        <v>2020</v>
      </c>
      <c r="K63" s="185" t="s">
        <v>1303</v>
      </c>
      <c r="L63" s="183">
        <f>G59</f>
        <v>188520.17923660553</v>
      </c>
      <c r="M63" s="183">
        <f>L63/14*2</f>
        <v>26931.454176657931</v>
      </c>
      <c r="N63" s="183">
        <f>N62+M63</f>
        <v>188520.1792366055</v>
      </c>
      <c r="O63" s="183">
        <f>L63-N63</f>
        <v>0</v>
      </c>
    </row>
    <row r="64" spans="1:15">
      <c r="A64" s="162"/>
      <c r="B64" s="170"/>
      <c r="C64" s="171"/>
      <c r="D64" s="164"/>
      <c r="E64" s="164"/>
      <c r="F64" s="165"/>
      <c r="G64" s="165"/>
      <c r="I64" s="181"/>
      <c r="J64" s="181"/>
      <c r="K64" s="185"/>
      <c r="L64" s="183"/>
      <c r="M64" s="183"/>
      <c r="N64" s="183"/>
      <c r="O64" s="183"/>
    </row>
    <row r="65" spans="1:13">
      <c r="A65" s="162"/>
      <c r="B65" s="170"/>
      <c r="C65" s="171"/>
      <c r="D65" s="164"/>
      <c r="E65" s="164"/>
      <c r="F65" s="165"/>
      <c r="G65" s="165"/>
      <c r="M65" s="184">
        <f>SUM(M61:M64)</f>
        <v>188520.1792366055</v>
      </c>
    </row>
    <row r="66" spans="1:13">
      <c r="A66" s="162"/>
      <c r="B66" s="170"/>
      <c r="C66" s="171"/>
      <c r="D66" s="164"/>
      <c r="E66" s="164"/>
      <c r="F66" s="165"/>
      <c r="G66" s="165"/>
    </row>
    <row r="67" spans="1:13">
      <c r="A67" s="162"/>
      <c r="B67" s="170"/>
      <c r="C67" s="171"/>
      <c r="D67" s="164"/>
      <c r="E67" s="164"/>
      <c r="F67" s="165"/>
      <c r="G67" s="165"/>
    </row>
    <row r="68" spans="1:13">
      <c r="A68" s="162"/>
      <c r="B68" s="170"/>
      <c r="C68" s="171"/>
      <c r="D68" s="164"/>
      <c r="E68" s="164"/>
      <c r="F68" s="165"/>
      <c r="G68" s="165"/>
    </row>
    <row r="69" spans="1:13">
      <c r="A69" s="162"/>
      <c r="B69" s="170"/>
      <c r="C69" s="171"/>
      <c r="D69" s="164"/>
      <c r="E69" s="164"/>
      <c r="F69" s="165"/>
      <c r="G69" s="165"/>
    </row>
    <row r="70" spans="1:13">
      <c r="A70" s="162"/>
      <c r="B70" s="170"/>
      <c r="C70" s="171"/>
      <c r="D70" s="164"/>
      <c r="E70" s="164"/>
      <c r="F70" s="165"/>
      <c r="G70" s="165"/>
    </row>
    <row r="71" spans="1:13">
      <c r="A71" s="162"/>
      <c r="B71" s="159"/>
      <c r="C71" s="172"/>
      <c r="D71" s="173"/>
      <c r="E71" s="173"/>
      <c r="F71" s="165"/>
      <c r="G71" s="165"/>
    </row>
    <row r="72" spans="1:13">
      <c r="A72" s="162"/>
      <c r="B72" s="159"/>
      <c r="C72" s="159"/>
      <c r="D72" s="164"/>
      <c r="E72" s="162"/>
      <c r="F72" s="165"/>
      <c r="G72" s="165"/>
    </row>
    <row r="73" spans="1:13">
      <c r="A73" s="162">
        <v>1</v>
      </c>
      <c r="B73" s="170">
        <v>43466</v>
      </c>
      <c r="C73" s="171">
        <v>15000</v>
      </c>
      <c r="D73" s="164">
        <f>C73/POWER(1+F56,A73)</f>
        <v>14782.318620388905</v>
      </c>
      <c r="E73" s="164">
        <f t="shared" ref="E73:E84" si="2">C73-D73</f>
        <v>217.6813796110946</v>
      </c>
      <c r="F73" s="165"/>
      <c r="G73" s="165"/>
    </row>
    <row r="74" spans="1:13">
      <c r="A74" s="162">
        <v>2</v>
      </c>
      <c r="B74" s="170">
        <v>43497</v>
      </c>
      <c r="C74" s="171">
        <v>15000</v>
      </c>
      <c r="D74" s="164">
        <f>C74/POWER(1+F56,A74)</f>
        <v>14567.79625297977</v>
      </c>
      <c r="E74" s="164">
        <f t="shared" si="2"/>
        <v>432.20374702023037</v>
      </c>
      <c r="F74" s="165"/>
      <c r="G74" s="165"/>
    </row>
    <row r="75" spans="1:13">
      <c r="A75" s="162">
        <v>3</v>
      </c>
      <c r="B75" s="170">
        <v>43525</v>
      </c>
      <c r="C75" s="171">
        <v>15000</v>
      </c>
      <c r="D75" s="164">
        <f>C75/POWER(1+F56,A75)</f>
        <v>14356.387053896971</v>
      </c>
      <c r="E75" s="164">
        <f t="shared" si="2"/>
        <v>643.61294610302866</v>
      </c>
      <c r="F75" s="165"/>
      <c r="G75" s="165"/>
    </row>
    <row r="76" spans="1:13">
      <c r="A76" s="162">
        <v>4</v>
      </c>
      <c r="B76" s="170">
        <v>43556</v>
      </c>
      <c r="C76" s="171">
        <v>15000</v>
      </c>
      <c r="D76" s="164">
        <f>C76/POWER(1+F56,A76)</f>
        <v>14148.045844555427</v>
      </c>
      <c r="E76" s="164">
        <f t="shared" si="2"/>
        <v>851.95415544457319</v>
      </c>
      <c r="F76" s="165"/>
      <c r="G76" s="165"/>
    </row>
    <row r="77" spans="1:13">
      <c r="A77" s="162">
        <v>5</v>
      </c>
      <c r="B77" s="170">
        <v>43586</v>
      </c>
      <c r="C77" s="171">
        <v>15000</v>
      </c>
      <c r="D77" s="164">
        <f>C77/POWER(1+F56,A77)</f>
        <v>13942.728102005838</v>
      </c>
      <c r="E77" s="164">
        <f t="shared" si="2"/>
        <v>1057.2718979941619</v>
      </c>
      <c r="F77" s="165"/>
      <c r="G77" s="165"/>
    </row>
    <row r="78" spans="1:13">
      <c r="A78" s="162">
        <v>6</v>
      </c>
      <c r="B78" s="170">
        <v>43617</v>
      </c>
      <c r="C78" s="171">
        <v>15000</v>
      </c>
      <c r="D78" s="164">
        <f>C78/POWER(1+F56,A78)</f>
        <v>13740.389949420038</v>
      </c>
      <c r="E78" s="164">
        <f t="shared" si="2"/>
        <v>1259.6100505799623</v>
      </c>
      <c r="F78" s="165"/>
      <c r="G78" s="165"/>
    </row>
    <row r="79" spans="1:13">
      <c r="A79" s="162">
        <v>7</v>
      </c>
      <c r="B79" s="170">
        <v>43647</v>
      </c>
      <c r="C79" s="171">
        <v>15000</v>
      </c>
      <c r="D79" s="164">
        <f>C79/POWER(1+F56,A79)</f>
        <v>13540.988146714424</v>
      </c>
      <c r="E79" s="164">
        <f t="shared" si="2"/>
        <v>1459.0118532855759</v>
      </c>
      <c r="F79" s="165"/>
      <c r="G79" s="165"/>
    </row>
    <row r="80" spans="1:13">
      <c r="A80" s="162">
        <v>8</v>
      </c>
      <c r="B80" s="170">
        <v>43678</v>
      </c>
      <c r="C80" s="171">
        <v>15000</v>
      </c>
      <c r="D80" s="164">
        <f>C80/POWER(1+F56,A80)</f>
        <v>13344.480081309473</v>
      </c>
      <c r="E80" s="164">
        <f t="shared" si="2"/>
        <v>1655.5199186905265</v>
      </c>
      <c r="F80" s="165"/>
      <c r="G80" s="165"/>
    </row>
    <row r="81" spans="1:7">
      <c r="A81" s="162">
        <v>9</v>
      </c>
      <c r="B81" s="170">
        <v>43709</v>
      </c>
      <c r="C81" s="171">
        <v>15000</v>
      </c>
      <c r="D81" s="164">
        <f>C81/POWER(1+F56,A81)</f>
        <v>13150.823759023326</v>
      </c>
      <c r="E81" s="164">
        <f t="shared" si="2"/>
        <v>1849.1762409766743</v>
      </c>
      <c r="F81" s="165"/>
      <c r="G81" s="165"/>
    </row>
    <row r="82" spans="1:7">
      <c r="A82" s="162">
        <v>10</v>
      </c>
      <c r="B82" s="170">
        <v>43739</v>
      </c>
      <c r="C82" s="171">
        <v>15000</v>
      </c>
      <c r="D82" s="164">
        <f>C82/POWER(1+F56,A82)</f>
        <v>12959.977795097555</v>
      </c>
      <c r="E82" s="164">
        <f t="shared" si="2"/>
        <v>2040.0222049024451</v>
      </c>
      <c r="F82" s="165"/>
      <c r="G82" s="165"/>
    </row>
    <row r="83" spans="1:7">
      <c r="A83" s="162">
        <v>11</v>
      </c>
      <c r="B83" s="170">
        <v>43770</v>
      </c>
      <c r="C83" s="171">
        <v>15000</v>
      </c>
      <c r="D83" s="164">
        <f>C83/POWER(1+F56,A83)</f>
        <v>12771.901405353155</v>
      </c>
      <c r="E83" s="164">
        <f t="shared" si="2"/>
        <v>2228.0985946468445</v>
      </c>
      <c r="F83" s="165"/>
      <c r="G83" s="165"/>
    </row>
    <row r="84" spans="1:7">
      <c r="A84" s="162">
        <v>12</v>
      </c>
      <c r="B84" s="170">
        <v>43800</v>
      </c>
      <c r="C84" s="171">
        <v>15000</v>
      </c>
      <c r="D84" s="164">
        <f>C84/POWER(1+F56,A84)</f>
        <v>12586.554397474878</v>
      </c>
      <c r="E84" s="164">
        <f t="shared" si="2"/>
        <v>2413.445602525122</v>
      </c>
      <c r="F84" s="165"/>
      <c r="G84" s="165"/>
    </row>
    <row r="85" spans="1:7">
      <c r="A85" s="162"/>
      <c r="B85" s="159"/>
      <c r="C85" s="172">
        <f>SUM(C73:C84)</f>
        <v>180000</v>
      </c>
      <c r="D85" s="173">
        <f>SUM(D73:D84)</f>
        <v>163892.39140821979</v>
      </c>
      <c r="E85" s="173">
        <f>SUM(E73:E84)</f>
        <v>16107.608591780239</v>
      </c>
      <c r="F85" s="169">
        <f>G59-D85</f>
        <v>24627.787828385743</v>
      </c>
      <c r="G85" s="168">
        <f>D85+E85</f>
        <v>180000.00000000003</v>
      </c>
    </row>
    <row r="86" spans="1:7">
      <c r="A86" s="162"/>
      <c r="B86" s="159"/>
      <c r="C86" s="159"/>
      <c r="D86" s="164"/>
      <c r="E86" s="162"/>
      <c r="F86" s="165"/>
      <c r="G86" s="165"/>
    </row>
    <row r="87" spans="1:7">
      <c r="A87" s="162">
        <v>13</v>
      </c>
      <c r="B87" s="170">
        <v>43831</v>
      </c>
      <c r="C87" s="171">
        <v>15000</v>
      </c>
      <c r="D87" s="164">
        <f>C87/POWER(1+F56,A87)</f>
        <v>12403.89716242205</v>
      </c>
      <c r="E87" s="164">
        <f t="shared" ref="E87:E88" si="3">C87-D87</f>
        <v>2596.1028375779497</v>
      </c>
      <c r="F87" s="165"/>
      <c r="G87" s="165"/>
    </row>
    <row r="88" spans="1:7">
      <c r="A88" s="162">
        <v>14</v>
      </c>
      <c r="B88" s="170">
        <v>43862</v>
      </c>
      <c r="C88" s="171">
        <v>15000</v>
      </c>
      <c r="D88" s="164">
        <f>C88/POWER(1+F56,A88)</f>
        <v>12223.89066596404</v>
      </c>
      <c r="E88" s="164">
        <f t="shared" si="3"/>
        <v>2776.1093340359603</v>
      </c>
      <c r="F88" s="165"/>
      <c r="G88" s="165"/>
    </row>
    <row r="89" spans="1:7">
      <c r="A89" s="162"/>
      <c r="B89" s="170"/>
      <c r="C89" s="172">
        <f>SUM(C87:C88)</f>
        <v>30000</v>
      </c>
      <c r="D89" s="173">
        <f>SUM(D87:D88)</f>
        <v>24627.787828386092</v>
      </c>
      <c r="E89" s="173">
        <f>SUM(E87:E88)</f>
        <v>5372.21217161391</v>
      </c>
      <c r="F89" s="169">
        <f>F85-D89</f>
        <v>-3.4924596548080444E-10</v>
      </c>
      <c r="G89" s="165"/>
    </row>
    <row r="90" spans="1:7">
      <c r="A90" s="162"/>
      <c r="B90" s="170"/>
      <c r="C90" s="171"/>
      <c r="D90" s="164"/>
      <c r="E90" s="164"/>
      <c r="F90" s="165"/>
      <c r="G90" s="165"/>
    </row>
    <row r="91" spans="1:7">
      <c r="A91" s="162"/>
      <c r="B91" s="170"/>
      <c r="C91" s="171"/>
      <c r="D91" s="164">
        <f>D85+D89</f>
        <v>188520.17923660588</v>
      </c>
      <c r="E91" s="164"/>
      <c r="F91" s="165"/>
      <c r="G91" s="165"/>
    </row>
    <row r="92" spans="1:7">
      <c r="A92" s="162"/>
      <c r="B92" s="170"/>
      <c r="C92" s="171"/>
      <c r="D92" s="164"/>
      <c r="E92" s="164"/>
      <c r="F92" s="165"/>
      <c r="G92" s="165"/>
    </row>
    <row r="93" spans="1:7">
      <c r="A93" s="162"/>
      <c r="B93" s="170"/>
      <c r="C93" s="171"/>
      <c r="D93" s="164"/>
      <c r="E93" s="164"/>
      <c r="F93" s="165"/>
      <c r="G93" s="165"/>
    </row>
    <row r="94" spans="1:7">
      <c r="A94" s="162"/>
      <c r="B94" s="170"/>
      <c r="C94" s="171"/>
      <c r="D94" s="164"/>
      <c r="E94" s="164"/>
      <c r="F94" s="165"/>
      <c r="G94" s="165"/>
    </row>
    <row r="95" spans="1:7">
      <c r="A95" s="162"/>
      <c r="B95" s="170"/>
      <c r="C95" s="171"/>
      <c r="D95" s="164"/>
      <c r="E95" s="164"/>
      <c r="F95" s="165"/>
      <c r="G95" s="165"/>
    </row>
    <row r="96" spans="1:7">
      <c r="A96" s="162"/>
      <c r="B96" s="170"/>
      <c r="C96" s="171"/>
      <c r="D96" s="164"/>
      <c r="E96" s="164"/>
      <c r="F96" s="165"/>
      <c r="G96" s="165"/>
    </row>
    <row r="97" spans="1:7">
      <c r="A97" s="162"/>
      <c r="B97" s="170"/>
      <c r="C97" s="171"/>
      <c r="D97" s="164"/>
      <c r="E97" s="164"/>
      <c r="F97" s="165"/>
      <c r="G97" s="165"/>
    </row>
    <row r="98" spans="1:7">
      <c r="D98" s="179"/>
      <c r="E98" s="179"/>
    </row>
    <row r="100" spans="1:7">
      <c r="D100" s="179"/>
    </row>
  </sheetData>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dimension ref="A3:O636"/>
  <sheetViews>
    <sheetView zoomScale="150" zoomScaleNormal="150" workbookViewId="0">
      <selection activeCell="G1" sqref="G1"/>
    </sheetView>
  </sheetViews>
  <sheetFormatPr defaultColWidth="9.140625" defaultRowHeight="15" outlineLevelCol="1"/>
  <cols>
    <col min="1" max="1" width="9.7109375" style="154" customWidth="1" outlineLevel="1"/>
    <col min="2" max="2" width="7.42578125" style="142" customWidth="1" outlineLevel="1"/>
    <col min="3" max="4" width="7.42578125" style="154" customWidth="1" outlineLevel="1"/>
    <col min="5" max="5" width="0.85546875" style="140" customWidth="1" outlineLevel="1"/>
    <col min="6" max="6" width="9.85546875" style="141" bestFit="1" customWidth="1"/>
    <col min="7" max="7" width="51.140625" style="141" customWidth="1"/>
    <col min="8" max="8" width="9.42578125" style="141" customWidth="1"/>
    <col min="9" max="9" width="32.42578125" style="141" customWidth="1"/>
    <col min="10" max="10" width="8" style="142" customWidth="1"/>
    <col min="11" max="11" width="29.7109375" style="141" customWidth="1"/>
    <col min="13" max="13" width="9.140625" style="141"/>
    <col min="14" max="14" width="8.28515625" style="140" bestFit="1" customWidth="1"/>
    <col min="15" max="15" width="62.42578125" style="141" bestFit="1" customWidth="1"/>
    <col min="16" max="16384" width="9.140625" style="141"/>
  </cols>
  <sheetData>
    <row r="3" spans="1:12" ht="15.75" customHeight="1">
      <c r="A3" s="138" t="s">
        <v>640</v>
      </c>
      <c r="B3" s="139" t="s">
        <v>641</v>
      </c>
      <c r="C3" s="138" t="s">
        <v>642</v>
      </c>
      <c r="D3" s="138" t="s">
        <v>643</v>
      </c>
      <c r="E3" s="140" t="s">
        <v>644</v>
      </c>
      <c r="F3" s="141" t="s">
        <v>645</v>
      </c>
      <c r="G3" s="141" t="s">
        <v>646</v>
      </c>
      <c r="I3" s="141" t="s">
        <v>647</v>
      </c>
      <c r="J3" s="142" t="s">
        <v>648</v>
      </c>
      <c r="K3" s="141" t="s">
        <v>649</v>
      </c>
    </row>
    <row r="4" spans="1:12" s="149" customFormat="1" ht="12">
      <c r="A4" s="143" t="s">
        <v>650</v>
      </c>
      <c r="B4" s="144">
        <v>10</v>
      </c>
      <c r="C4" s="143"/>
      <c r="D4" s="143"/>
      <c r="E4" s="145"/>
      <c r="F4" s="146" t="str">
        <f t="shared" ref="F4:F73" si="0">CONCATENATE(A4,".",B4&amp;C4,IF(D4="","",CONCATENATE(".",D4)))</f>
        <v>A.10</v>
      </c>
      <c r="G4" s="147" t="s">
        <v>651</v>
      </c>
      <c r="H4" s="146" t="str">
        <f>VLOOKUP(I4,[1]Scheme!D:F,3,0)</f>
        <v>A01.08</v>
      </c>
      <c r="I4" s="147" t="s">
        <v>651</v>
      </c>
      <c r="J4" s="146" t="str">
        <f>VLOOKUP(K4,[1]Scheme!B:C,2,0)</f>
        <v>A01</v>
      </c>
      <c r="K4" s="147" t="s">
        <v>652</v>
      </c>
      <c r="L4" s="148"/>
    </row>
    <row r="5" spans="1:12" s="149" customFormat="1" ht="12.75">
      <c r="A5" s="143" t="s">
        <v>650</v>
      </c>
      <c r="B5" s="144">
        <v>0</v>
      </c>
      <c r="C5" s="143" t="s">
        <v>653</v>
      </c>
      <c r="D5" s="143"/>
      <c r="E5" s="145"/>
      <c r="F5" s="146" t="s">
        <v>654</v>
      </c>
      <c r="G5" s="150" t="s">
        <v>655</v>
      </c>
      <c r="H5" s="146" t="s">
        <v>656</v>
      </c>
      <c r="I5" s="150" t="s">
        <v>655</v>
      </c>
      <c r="J5" s="146" t="str">
        <f>VLOOKUP(K5,[1]Scheme!B:C,2,0)</f>
        <v>A02</v>
      </c>
      <c r="K5" s="150" t="s">
        <v>655</v>
      </c>
      <c r="L5" s="148"/>
    </row>
    <row r="6" spans="1:12" s="149" customFormat="1" ht="12">
      <c r="A6" s="143" t="s">
        <v>650</v>
      </c>
      <c r="B6" s="144">
        <v>10</v>
      </c>
      <c r="C6" s="143" t="s">
        <v>653</v>
      </c>
      <c r="D6" s="143"/>
      <c r="E6" s="145"/>
      <c r="F6" s="146" t="str">
        <f t="shared" si="0"/>
        <v>A.101</v>
      </c>
      <c r="G6" s="147" t="s">
        <v>657</v>
      </c>
      <c r="H6" s="146" t="str">
        <f>VLOOKUP(I6,[1]Scheme!D:F,3,0)</f>
        <v>A01.01</v>
      </c>
      <c r="I6" s="147" t="s">
        <v>657</v>
      </c>
      <c r="J6" s="146" t="str">
        <f>VLOOKUP(K6,[1]Scheme!B:C,2,0)</f>
        <v>A01</v>
      </c>
      <c r="K6" s="147" t="s">
        <v>652</v>
      </c>
      <c r="L6" s="148"/>
    </row>
    <row r="7" spans="1:12" s="149" customFormat="1" ht="12">
      <c r="A7" s="143" t="s">
        <v>650</v>
      </c>
      <c r="B7" s="144">
        <v>10</v>
      </c>
      <c r="C7" s="143" t="s">
        <v>658</v>
      </c>
      <c r="D7" s="143"/>
      <c r="E7" s="145"/>
      <c r="F7" s="146" t="str">
        <f t="shared" si="0"/>
        <v>A.102</v>
      </c>
      <c r="G7" s="147" t="s">
        <v>659</v>
      </c>
      <c r="H7" s="146" t="str">
        <f>VLOOKUP(I7,[1]Scheme!D:F,3,0)</f>
        <v>A01.01</v>
      </c>
      <c r="I7" s="147" t="s">
        <v>657</v>
      </c>
      <c r="J7" s="146" t="str">
        <f>VLOOKUP(K7,[1]Scheme!B:C,2,0)</f>
        <v>A01</v>
      </c>
      <c r="K7" s="147" t="s">
        <v>652</v>
      </c>
      <c r="L7" s="148"/>
    </row>
    <row r="8" spans="1:12" s="149" customFormat="1" ht="12">
      <c r="A8" s="143" t="s">
        <v>650</v>
      </c>
      <c r="B8" s="144">
        <v>10</v>
      </c>
      <c r="C8" s="143" t="s">
        <v>660</v>
      </c>
      <c r="D8" s="143"/>
      <c r="E8" s="145"/>
      <c r="F8" s="146" t="str">
        <f t="shared" si="0"/>
        <v>A.103</v>
      </c>
      <c r="G8" s="147" t="s">
        <v>661</v>
      </c>
      <c r="H8" s="146" t="str">
        <f>VLOOKUP(I8,[1]Scheme!D:F,3,0)</f>
        <v>A01.02</v>
      </c>
      <c r="I8" s="147" t="s">
        <v>661</v>
      </c>
      <c r="J8" s="146" t="str">
        <f>VLOOKUP(K8,[1]Scheme!B:C,2,0)</f>
        <v>A01</v>
      </c>
      <c r="K8" s="147" t="s">
        <v>652</v>
      </c>
      <c r="L8" s="148"/>
    </row>
    <row r="9" spans="1:12" s="149" customFormat="1" ht="12">
      <c r="A9" s="143" t="s">
        <v>650</v>
      </c>
      <c r="B9" s="144">
        <v>10</v>
      </c>
      <c r="C9" s="143" t="s">
        <v>662</v>
      </c>
      <c r="D9" s="143"/>
      <c r="E9" s="145"/>
      <c r="F9" s="146" t="str">
        <f t="shared" si="0"/>
        <v>A.104</v>
      </c>
      <c r="G9" s="147" t="s">
        <v>663</v>
      </c>
      <c r="H9" s="146" t="str">
        <f>VLOOKUP(I9,[1]Scheme!D:F,3,0)</f>
        <v>A01.03</v>
      </c>
      <c r="I9" s="147" t="s">
        <v>663</v>
      </c>
      <c r="J9" s="146" t="str">
        <f>VLOOKUP(K9,[1]Scheme!B:C,2,0)</f>
        <v>A01</v>
      </c>
      <c r="K9" s="147" t="s">
        <v>652</v>
      </c>
      <c r="L9" s="148"/>
    </row>
    <row r="10" spans="1:12" s="149" customFormat="1" ht="12">
      <c r="A10" s="143" t="s">
        <v>650</v>
      </c>
      <c r="B10" s="144">
        <v>10</v>
      </c>
      <c r="C10" s="143" t="s">
        <v>662</v>
      </c>
      <c r="D10" s="143" t="s">
        <v>664</v>
      </c>
      <c r="E10" s="145"/>
      <c r="F10" s="146" t="str">
        <f>CONCATENATE(A10,".",B10&amp;C10,IF(D10="","",CONCATENATE(,D10)))</f>
        <v>A.104_Ag</v>
      </c>
      <c r="G10" s="147" t="s">
        <v>665</v>
      </c>
      <c r="H10" s="146" t="str">
        <f>VLOOKUP(I10,[1]Scheme!D:F,3,0)</f>
        <v>A01.03</v>
      </c>
      <c r="I10" s="147" t="s">
        <v>663</v>
      </c>
      <c r="J10" s="146" t="str">
        <f>VLOOKUP(K10,[1]Scheme!B:C,2,0)</f>
        <v>A01</v>
      </c>
      <c r="K10" s="147" t="s">
        <v>652</v>
      </c>
      <c r="L10" s="148"/>
    </row>
    <row r="11" spans="1:12" s="149" customFormat="1" ht="12">
      <c r="A11" s="143" t="s">
        <v>650</v>
      </c>
      <c r="B11" s="144">
        <v>10</v>
      </c>
      <c r="C11" s="143" t="s">
        <v>662</v>
      </c>
      <c r="D11" s="143" t="s">
        <v>666</v>
      </c>
      <c r="E11" s="145"/>
      <c r="F11" s="146" t="str">
        <f>CONCATENATE(A11,".",B11&amp;C11,IF(D11="","",CONCATENATE(,D11)))</f>
        <v>A.104_Comp</v>
      </c>
      <c r="G11" s="147" t="s">
        <v>667</v>
      </c>
      <c r="H11" s="146" t="str">
        <f>VLOOKUP(I11,[1]Scheme!D:F,3,0)</f>
        <v>A01.03</v>
      </c>
      <c r="I11" s="147" t="s">
        <v>663</v>
      </c>
      <c r="J11" s="146" t="str">
        <f>VLOOKUP(K11,[1]Scheme!B:C,2,0)</f>
        <v>A01</v>
      </c>
      <c r="K11" s="147" t="s">
        <v>652</v>
      </c>
      <c r="L11" s="148"/>
    </row>
    <row r="12" spans="1:12" s="149" customFormat="1" ht="12">
      <c r="A12" s="143" t="s">
        <v>650</v>
      </c>
      <c r="B12" s="144">
        <v>10</v>
      </c>
      <c r="C12" s="143" t="s">
        <v>668</v>
      </c>
      <c r="D12" s="143"/>
      <c r="E12" s="145"/>
      <c r="F12" s="146" t="str">
        <f t="shared" si="0"/>
        <v>A.105</v>
      </c>
      <c r="G12" s="147" t="s">
        <v>669</v>
      </c>
      <c r="H12" s="146" t="str">
        <f>VLOOKUP(I12,[1]Scheme!D:F,3,0)</f>
        <v>A01.04</v>
      </c>
      <c r="I12" s="147" t="s">
        <v>669</v>
      </c>
      <c r="J12" s="146" t="str">
        <f>VLOOKUP(K12,[1]Scheme!B:C,2,0)</f>
        <v>A01</v>
      </c>
      <c r="K12" s="147" t="s">
        <v>652</v>
      </c>
      <c r="L12" s="148"/>
    </row>
    <row r="13" spans="1:12" s="149" customFormat="1" ht="12">
      <c r="A13" s="143" t="s">
        <v>650</v>
      </c>
      <c r="B13" s="144">
        <v>10</v>
      </c>
      <c r="C13" s="143" t="s">
        <v>670</v>
      </c>
      <c r="D13" s="143"/>
      <c r="E13" s="145"/>
      <c r="F13" s="146" t="str">
        <f t="shared" si="0"/>
        <v>A.106</v>
      </c>
      <c r="G13" s="147" t="s">
        <v>671</v>
      </c>
      <c r="H13" s="146" t="str">
        <f>VLOOKUP(I13,[1]Scheme!D:F,3,0)</f>
        <v>A01.05</v>
      </c>
      <c r="I13" s="147" t="s">
        <v>671</v>
      </c>
      <c r="J13" s="146" t="str">
        <f>VLOOKUP(K13,[1]Scheme!B:C,2,0)</f>
        <v>A01</v>
      </c>
      <c r="K13" s="147" t="s">
        <v>652</v>
      </c>
      <c r="L13" s="148"/>
    </row>
    <row r="14" spans="1:12" s="149" customFormat="1" ht="12">
      <c r="A14" s="143" t="s">
        <v>650</v>
      </c>
      <c r="B14" s="144">
        <v>10</v>
      </c>
      <c r="C14" s="143" t="s">
        <v>672</v>
      </c>
      <c r="D14" s="143"/>
      <c r="E14" s="145"/>
      <c r="F14" s="146" t="str">
        <f t="shared" si="0"/>
        <v>A.109</v>
      </c>
      <c r="G14" s="147" t="s">
        <v>673</v>
      </c>
      <c r="H14" s="146" t="str">
        <f>VLOOKUP(I14,[1]Scheme!D:F,3,0)</f>
        <v>A01.06</v>
      </c>
      <c r="I14" s="147" t="s">
        <v>673</v>
      </c>
      <c r="J14" s="146" t="str">
        <f>VLOOKUP(K14,[1]Scheme!B:C,2,0)</f>
        <v>A01</v>
      </c>
      <c r="K14" s="147" t="s">
        <v>652</v>
      </c>
      <c r="L14" s="148"/>
    </row>
    <row r="15" spans="1:12" s="149" customFormat="1" ht="12">
      <c r="A15" s="143" t="s">
        <v>650</v>
      </c>
      <c r="B15" s="144">
        <v>11</v>
      </c>
      <c r="C15" s="143"/>
      <c r="D15" s="143"/>
      <c r="E15" s="145"/>
      <c r="F15" s="146" t="str">
        <f t="shared" si="0"/>
        <v>A.11</v>
      </c>
      <c r="G15" s="147" t="s">
        <v>674</v>
      </c>
      <c r="H15" s="146" t="str">
        <f>VLOOKUP(I15,[1]Scheme!D:F,3,0)</f>
        <v>A01.06</v>
      </c>
      <c r="I15" s="147" t="s">
        <v>673</v>
      </c>
      <c r="J15" s="146" t="str">
        <f>VLOOKUP(K15,[1]Scheme!B:C,2,0)</f>
        <v>A01</v>
      </c>
      <c r="K15" s="147" t="s">
        <v>652</v>
      </c>
      <c r="L15" s="148"/>
    </row>
    <row r="16" spans="1:12" s="149" customFormat="1" ht="12">
      <c r="A16" s="143" t="s">
        <v>650</v>
      </c>
      <c r="B16" s="144">
        <v>11</v>
      </c>
      <c r="C16" s="143" t="s">
        <v>653</v>
      </c>
      <c r="D16" s="143"/>
      <c r="E16" s="145"/>
      <c r="F16" s="146" t="str">
        <f t="shared" si="0"/>
        <v>A.111</v>
      </c>
      <c r="G16" s="147" t="s">
        <v>675</v>
      </c>
      <c r="H16" s="146" t="str">
        <f>VLOOKUP(I16,[1]Scheme!D:F,3,0)</f>
        <v>A01.06</v>
      </c>
      <c r="I16" s="147" t="s">
        <v>673</v>
      </c>
      <c r="J16" s="146" t="str">
        <f>VLOOKUP(K16,[1]Scheme!B:C,2,0)</f>
        <v>A01</v>
      </c>
      <c r="K16" s="147" t="s">
        <v>652</v>
      </c>
      <c r="L16" s="148"/>
    </row>
    <row r="17" spans="1:12" s="149" customFormat="1" ht="12">
      <c r="A17" s="143" t="s">
        <v>650</v>
      </c>
      <c r="B17" s="144">
        <v>11</v>
      </c>
      <c r="C17" s="143" t="s">
        <v>658</v>
      </c>
      <c r="D17" s="143"/>
      <c r="E17" s="145"/>
      <c r="F17" s="146" t="str">
        <f t="shared" si="0"/>
        <v>A.112</v>
      </c>
      <c r="G17" s="147" t="s">
        <v>676</v>
      </c>
      <c r="H17" s="146" t="str">
        <f>VLOOKUP(I17,[1]Scheme!D:F,3,0)</f>
        <v>A01.06</v>
      </c>
      <c r="I17" s="147" t="s">
        <v>673</v>
      </c>
      <c r="J17" s="146" t="str">
        <f>VLOOKUP(K17,[1]Scheme!B:C,2,0)</f>
        <v>A01</v>
      </c>
      <c r="K17" s="147" t="s">
        <v>652</v>
      </c>
      <c r="L17" s="148"/>
    </row>
    <row r="18" spans="1:12" s="149" customFormat="1" ht="12">
      <c r="A18" s="143" t="s">
        <v>650</v>
      </c>
      <c r="B18" s="144">
        <v>11</v>
      </c>
      <c r="C18" s="143" t="s">
        <v>660</v>
      </c>
      <c r="D18" s="143"/>
      <c r="E18" s="145"/>
      <c r="F18" s="146" t="str">
        <f t="shared" si="0"/>
        <v>A.113</v>
      </c>
      <c r="G18" s="147" t="s">
        <v>677</v>
      </c>
      <c r="H18" s="146" t="str">
        <f>VLOOKUP(I18,[1]Scheme!D:F,3,0)</f>
        <v>A01.06</v>
      </c>
      <c r="I18" s="147" t="s">
        <v>673</v>
      </c>
      <c r="J18" s="146" t="str">
        <f>VLOOKUP(K18,[1]Scheme!B:C,2,0)</f>
        <v>A01</v>
      </c>
      <c r="K18" s="147" t="s">
        <v>652</v>
      </c>
      <c r="L18" s="148"/>
    </row>
    <row r="19" spans="1:12" s="149" customFormat="1" ht="12">
      <c r="A19" s="143" t="s">
        <v>650</v>
      </c>
      <c r="B19" s="144">
        <v>11</v>
      </c>
      <c r="C19" s="143" t="s">
        <v>662</v>
      </c>
      <c r="D19" s="143"/>
      <c r="E19" s="145"/>
      <c r="F19" s="146" t="str">
        <f t="shared" si="0"/>
        <v>A.114</v>
      </c>
      <c r="G19" s="147" t="s">
        <v>678</v>
      </c>
      <c r="H19" s="146" t="str">
        <f>VLOOKUP(I19,[1]Scheme!D:F,3,0)</f>
        <v>A01.06</v>
      </c>
      <c r="I19" s="147" t="s">
        <v>673</v>
      </c>
      <c r="J19" s="146" t="str">
        <f>VLOOKUP(K19,[1]Scheme!B:C,2,0)</f>
        <v>A01</v>
      </c>
      <c r="K19" s="147" t="s">
        <v>652</v>
      </c>
      <c r="L19" s="148"/>
    </row>
    <row r="20" spans="1:12" s="149" customFormat="1" ht="12">
      <c r="A20" s="143" t="s">
        <v>650</v>
      </c>
      <c r="B20" s="144">
        <v>11</v>
      </c>
      <c r="C20" s="143" t="s">
        <v>668</v>
      </c>
      <c r="D20" s="143"/>
      <c r="E20" s="145"/>
      <c r="F20" s="146" t="str">
        <f t="shared" si="0"/>
        <v>A.115</v>
      </c>
      <c r="G20" s="147" t="s">
        <v>679</v>
      </c>
      <c r="H20" s="146" t="str">
        <f>VLOOKUP(I20,[1]Scheme!D:F,3,0)</f>
        <v>A01.06</v>
      </c>
      <c r="I20" s="147" t="s">
        <v>673</v>
      </c>
      <c r="J20" s="146" t="str">
        <f>VLOOKUP(K20,[1]Scheme!B:C,2,0)</f>
        <v>A01</v>
      </c>
      <c r="K20" s="147" t="s">
        <v>652</v>
      </c>
      <c r="L20" s="148"/>
    </row>
    <row r="21" spans="1:12" s="149" customFormat="1" ht="12">
      <c r="A21" s="143" t="s">
        <v>650</v>
      </c>
      <c r="B21" s="144">
        <v>11</v>
      </c>
      <c r="C21" s="143" t="s">
        <v>670</v>
      </c>
      <c r="D21" s="143"/>
      <c r="E21" s="145"/>
      <c r="F21" s="146" t="str">
        <f t="shared" si="0"/>
        <v>A.116</v>
      </c>
      <c r="G21" s="147" t="s">
        <v>680</v>
      </c>
      <c r="H21" s="146" t="str">
        <f>VLOOKUP(I21,[1]Scheme!D:F,3,0)</f>
        <v>A01.06</v>
      </c>
      <c r="I21" s="147" t="s">
        <v>673</v>
      </c>
      <c r="J21" s="146" t="str">
        <f>VLOOKUP(K21,[1]Scheme!B:C,2,0)</f>
        <v>A01</v>
      </c>
      <c r="K21" s="147" t="s">
        <v>652</v>
      </c>
      <c r="L21" s="148"/>
    </row>
    <row r="22" spans="1:12" s="149" customFormat="1" ht="12">
      <c r="A22" s="143" t="s">
        <v>650</v>
      </c>
      <c r="B22" s="144">
        <v>11</v>
      </c>
      <c r="C22" s="143" t="s">
        <v>681</v>
      </c>
      <c r="D22" s="143"/>
      <c r="E22" s="145"/>
      <c r="F22" s="146" t="str">
        <f t="shared" si="0"/>
        <v>A.117</v>
      </c>
      <c r="G22" s="147" t="s">
        <v>682</v>
      </c>
      <c r="H22" s="146" t="str">
        <f>VLOOKUP(I22,[1]Scheme!D:F,3,0)</f>
        <v>A01.06</v>
      </c>
      <c r="I22" s="147" t="s">
        <v>673</v>
      </c>
      <c r="J22" s="146" t="str">
        <f>VLOOKUP(K22,[1]Scheme!B:C,2,0)</f>
        <v>A01</v>
      </c>
      <c r="K22" s="147" t="s">
        <v>652</v>
      </c>
      <c r="L22" s="148"/>
    </row>
    <row r="23" spans="1:12" s="149" customFormat="1" ht="12">
      <c r="A23" s="143" t="s">
        <v>650</v>
      </c>
      <c r="B23" s="144">
        <v>12</v>
      </c>
      <c r="C23" s="143"/>
      <c r="D23" s="143"/>
      <c r="E23" s="145"/>
      <c r="F23" s="146" t="str">
        <f t="shared" si="0"/>
        <v>A.12</v>
      </c>
      <c r="G23" s="147" t="s">
        <v>683</v>
      </c>
      <c r="H23" s="146" t="str">
        <f>VLOOKUP(I23,[1]Scheme!D:F,3,0)</f>
        <v>A04.01</v>
      </c>
      <c r="I23" s="147" t="s">
        <v>684</v>
      </c>
      <c r="J23" s="146" t="str">
        <f>VLOOKUP(K23,[1]Scheme!B:C,2,0)</f>
        <v>A04</v>
      </c>
      <c r="K23" s="147" t="s">
        <v>685</v>
      </c>
      <c r="L23" s="148"/>
    </row>
    <row r="24" spans="1:12" s="149" customFormat="1" ht="12">
      <c r="A24" s="143" t="s">
        <v>650</v>
      </c>
      <c r="B24" s="144">
        <v>12</v>
      </c>
      <c r="C24" s="143" t="s">
        <v>653</v>
      </c>
      <c r="D24" s="143"/>
      <c r="E24" s="145"/>
      <c r="F24" s="146" t="str">
        <f t="shared" si="0"/>
        <v>A.121</v>
      </c>
      <c r="G24" s="147" t="s">
        <v>686</v>
      </c>
      <c r="H24" s="146" t="str">
        <f>VLOOKUP(I24,[1]Scheme!D:F,3,0)</f>
        <v>A04.01</v>
      </c>
      <c r="I24" s="147" t="s">
        <v>684</v>
      </c>
      <c r="J24" s="146" t="str">
        <f>VLOOKUP(K24,[1]Scheme!B:C,2,0)</f>
        <v>A04</v>
      </c>
      <c r="K24" s="147" t="s">
        <v>685</v>
      </c>
      <c r="L24" s="148"/>
    </row>
    <row r="25" spans="1:12" s="149" customFormat="1" ht="12">
      <c r="A25" s="143" t="s">
        <v>650</v>
      </c>
      <c r="B25" s="144">
        <v>12</v>
      </c>
      <c r="C25" s="143" t="s">
        <v>658</v>
      </c>
      <c r="D25" s="143"/>
      <c r="E25" s="145"/>
      <c r="F25" s="146" t="str">
        <f t="shared" si="0"/>
        <v>A.122</v>
      </c>
      <c r="G25" s="147" t="s">
        <v>687</v>
      </c>
      <c r="H25" s="146" t="str">
        <f>VLOOKUP(I25,[1]Scheme!D:F,3,0)</f>
        <v>A04.01</v>
      </c>
      <c r="I25" s="147" t="s">
        <v>684</v>
      </c>
      <c r="J25" s="146" t="str">
        <f>VLOOKUP(K25,[1]Scheme!B:C,2,0)</f>
        <v>A04</v>
      </c>
      <c r="K25" s="147" t="s">
        <v>685</v>
      </c>
      <c r="L25" s="148"/>
    </row>
    <row r="26" spans="1:12" s="149" customFormat="1" ht="12">
      <c r="A26" s="143" t="s">
        <v>650</v>
      </c>
      <c r="B26" s="144">
        <v>12</v>
      </c>
      <c r="C26" s="143" t="s">
        <v>660</v>
      </c>
      <c r="D26" s="143"/>
      <c r="E26" s="145"/>
      <c r="F26" s="146" t="str">
        <f t="shared" si="0"/>
        <v>A.123</v>
      </c>
      <c r="G26" s="147" t="s">
        <v>688</v>
      </c>
      <c r="H26" s="146" t="str">
        <f>VLOOKUP(I26,[1]Scheme!D:F,3,0)</f>
        <v>A04.01</v>
      </c>
      <c r="I26" s="147" t="s">
        <v>684</v>
      </c>
      <c r="J26" s="146" t="str">
        <f>VLOOKUP(K26,[1]Scheme!B:C,2,0)</f>
        <v>A04</v>
      </c>
      <c r="K26" s="147" t="s">
        <v>685</v>
      </c>
      <c r="L26" s="148"/>
    </row>
    <row r="27" spans="1:12" s="149" customFormat="1" ht="12">
      <c r="A27" s="143" t="s">
        <v>650</v>
      </c>
      <c r="B27" s="144">
        <v>12</v>
      </c>
      <c r="C27" s="143" t="s">
        <v>662</v>
      </c>
      <c r="D27" s="143"/>
      <c r="E27" s="145"/>
      <c r="F27" s="146" t="str">
        <f t="shared" si="0"/>
        <v>A.124</v>
      </c>
      <c r="G27" s="147" t="s">
        <v>689</v>
      </c>
      <c r="H27" s="146" t="str">
        <f>VLOOKUP(I27,[1]Scheme!D:F,3,0)</f>
        <v>A04.01</v>
      </c>
      <c r="I27" s="147" t="s">
        <v>684</v>
      </c>
      <c r="J27" s="146" t="str">
        <f>VLOOKUP(K27,[1]Scheme!B:C,2,0)</f>
        <v>A04</v>
      </c>
      <c r="K27" s="147" t="s">
        <v>685</v>
      </c>
      <c r="L27" s="148"/>
    </row>
    <row r="28" spans="1:12" s="149" customFormat="1" ht="12">
      <c r="A28" s="143" t="s">
        <v>650</v>
      </c>
      <c r="B28" s="144">
        <v>12</v>
      </c>
      <c r="C28" s="143" t="s">
        <v>668</v>
      </c>
      <c r="D28" s="143"/>
      <c r="E28" s="145"/>
      <c r="F28" s="146" t="str">
        <f t="shared" si="0"/>
        <v>A.125</v>
      </c>
      <c r="G28" s="147" t="s">
        <v>690</v>
      </c>
      <c r="H28" s="146" t="str">
        <f>VLOOKUP(I28,[1]Scheme!D:F,3,0)</f>
        <v>A04.01</v>
      </c>
      <c r="I28" s="147" t="s">
        <v>684</v>
      </c>
      <c r="J28" s="146" t="str">
        <f>VLOOKUP(K28,[1]Scheme!B:C,2,0)</f>
        <v>A04</v>
      </c>
      <c r="K28" s="147" t="s">
        <v>685</v>
      </c>
      <c r="L28" s="148"/>
    </row>
    <row r="29" spans="1:12" s="149" customFormat="1" ht="12">
      <c r="A29" s="143" t="s">
        <v>650</v>
      </c>
      <c r="B29" s="144">
        <v>12</v>
      </c>
      <c r="C29" s="143" t="s">
        <v>681</v>
      </c>
      <c r="D29" s="143"/>
      <c r="E29" s="145"/>
      <c r="F29" s="146" t="str">
        <f t="shared" si="0"/>
        <v>A.127</v>
      </c>
      <c r="G29" s="147" t="s">
        <v>691</v>
      </c>
      <c r="H29" s="146" t="str">
        <f>VLOOKUP(I29,[1]Scheme!D:F,3,0)</f>
        <v>A04.01</v>
      </c>
      <c r="I29" s="147" t="s">
        <v>684</v>
      </c>
      <c r="J29" s="146" t="str">
        <f>VLOOKUP(K29,[1]Scheme!B:C,2,0)</f>
        <v>A04</v>
      </c>
      <c r="K29" s="147" t="s">
        <v>685</v>
      </c>
      <c r="L29" s="148"/>
    </row>
    <row r="30" spans="1:12" s="149" customFormat="1" ht="12">
      <c r="A30" s="143" t="s">
        <v>650</v>
      </c>
      <c r="B30" s="144">
        <v>12</v>
      </c>
      <c r="C30" s="143" t="s">
        <v>681</v>
      </c>
      <c r="D30" s="143" t="s">
        <v>692</v>
      </c>
      <c r="E30" s="145"/>
      <c r="F30" s="146" t="str">
        <f t="shared" si="0"/>
        <v>A.127.01</v>
      </c>
      <c r="G30" s="147" t="s">
        <v>693</v>
      </c>
      <c r="H30" s="146" t="str">
        <f>VLOOKUP(I30,[1]Scheme!D:F,3,0)</f>
        <v>A04.02</v>
      </c>
      <c r="I30" s="147" t="s">
        <v>694</v>
      </c>
      <c r="J30" s="146" t="str">
        <f>VLOOKUP(K30,[1]Scheme!B:C,2,0)</f>
        <v>A04</v>
      </c>
      <c r="K30" s="147" t="s">
        <v>685</v>
      </c>
      <c r="L30" s="148"/>
    </row>
    <row r="31" spans="1:12" s="149" customFormat="1" ht="12">
      <c r="A31" s="143" t="s">
        <v>650</v>
      </c>
      <c r="B31" s="144">
        <v>13</v>
      </c>
      <c r="C31" s="143"/>
      <c r="D31" s="143"/>
      <c r="E31" s="145"/>
      <c r="F31" s="146" t="str">
        <f t="shared" si="0"/>
        <v>A.13</v>
      </c>
      <c r="G31" s="147" t="s">
        <v>695</v>
      </c>
      <c r="H31" s="146" t="str">
        <f>VLOOKUP(I31,[1]Scheme!D:F,3,0)</f>
        <v>A01.08</v>
      </c>
      <c r="I31" s="147" t="s">
        <v>651</v>
      </c>
      <c r="J31" s="146" t="str">
        <f>VLOOKUP(K31,[1]Scheme!B:C,2,0)</f>
        <v>A01</v>
      </c>
      <c r="K31" s="147" t="s">
        <v>652</v>
      </c>
      <c r="L31" s="148"/>
    </row>
    <row r="32" spans="1:12" s="149" customFormat="1" ht="12">
      <c r="A32" s="143" t="s">
        <v>650</v>
      </c>
      <c r="B32" s="144">
        <v>13</v>
      </c>
      <c r="C32" s="143" t="s">
        <v>653</v>
      </c>
      <c r="D32" s="143"/>
      <c r="E32" s="145"/>
      <c r="F32" s="146" t="str">
        <f t="shared" si="0"/>
        <v>A.131</v>
      </c>
      <c r="G32" s="147" t="s">
        <v>696</v>
      </c>
      <c r="H32" s="146" t="str">
        <f>VLOOKUP(I32,[1]Scheme!D:F,3,0)</f>
        <v>A01.08</v>
      </c>
      <c r="I32" s="147" t="s">
        <v>651</v>
      </c>
      <c r="J32" s="146" t="str">
        <f>VLOOKUP(K32,[1]Scheme!B:C,2,0)</f>
        <v>A01</v>
      </c>
      <c r="K32" s="147" t="s">
        <v>652</v>
      </c>
      <c r="L32" s="148"/>
    </row>
    <row r="33" spans="1:12" s="149" customFormat="1" ht="12">
      <c r="A33" s="143" t="s">
        <v>650</v>
      </c>
      <c r="B33" s="144">
        <v>13</v>
      </c>
      <c r="C33" s="143" t="s">
        <v>653</v>
      </c>
      <c r="D33" s="143" t="s">
        <v>692</v>
      </c>
      <c r="E33" s="145"/>
      <c r="F33" s="146" t="str">
        <f t="shared" si="0"/>
        <v>A.131.01</v>
      </c>
      <c r="G33" s="147" t="s">
        <v>697</v>
      </c>
      <c r="H33" s="146" t="str">
        <f>VLOOKUP(I33,[1]Scheme!D:F,3,0)</f>
        <v>A01.01</v>
      </c>
      <c r="I33" s="147" t="s">
        <v>657</v>
      </c>
      <c r="J33" s="146" t="str">
        <f>VLOOKUP(K33,[1]Scheme!B:C,2,0)</f>
        <v>A01</v>
      </c>
      <c r="K33" s="147" t="s">
        <v>652</v>
      </c>
      <c r="L33" s="148"/>
    </row>
    <row r="34" spans="1:12" s="149" customFormat="1" ht="12">
      <c r="A34" s="143" t="s">
        <v>650</v>
      </c>
      <c r="B34" s="144">
        <v>13</v>
      </c>
      <c r="C34" s="143" t="s">
        <v>653</v>
      </c>
      <c r="D34" s="143" t="s">
        <v>698</v>
      </c>
      <c r="E34" s="145"/>
      <c r="F34" s="146" t="str">
        <f t="shared" si="0"/>
        <v>A.131.02</v>
      </c>
      <c r="G34" s="147" t="s">
        <v>699</v>
      </c>
      <c r="H34" s="146" t="str">
        <f>VLOOKUP(I34,[1]Scheme!D:F,3,0)</f>
        <v>A01.02</v>
      </c>
      <c r="I34" s="147" t="s">
        <v>661</v>
      </c>
      <c r="J34" s="146" t="str">
        <f>VLOOKUP(K34,[1]Scheme!B:C,2,0)</f>
        <v>A01</v>
      </c>
      <c r="K34" s="147" t="s">
        <v>652</v>
      </c>
      <c r="L34" s="148"/>
    </row>
    <row r="35" spans="1:12" s="149" customFormat="1" ht="12">
      <c r="A35" s="143" t="s">
        <v>650</v>
      </c>
      <c r="B35" s="144">
        <v>13</v>
      </c>
      <c r="C35" s="143" t="s">
        <v>653</v>
      </c>
      <c r="D35" s="143" t="s">
        <v>700</v>
      </c>
      <c r="E35" s="145"/>
      <c r="F35" s="146" t="str">
        <f t="shared" si="0"/>
        <v>A.131.03</v>
      </c>
      <c r="G35" s="147" t="s">
        <v>701</v>
      </c>
      <c r="H35" s="146" t="str">
        <f>VLOOKUP(I35,[1]Scheme!D:F,3,0)</f>
        <v>A01.03</v>
      </c>
      <c r="I35" s="147" t="s">
        <v>663</v>
      </c>
      <c r="J35" s="146" t="str">
        <f>VLOOKUP(K35,[1]Scheme!B:C,2,0)</f>
        <v>A01</v>
      </c>
      <c r="K35" s="147" t="s">
        <v>652</v>
      </c>
      <c r="L35" s="148"/>
    </row>
    <row r="36" spans="1:12" s="149" customFormat="1" ht="12">
      <c r="A36" s="143" t="s">
        <v>650</v>
      </c>
      <c r="B36" s="144">
        <v>13</v>
      </c>
      <c r="C36" s="143" t="s">
        <v>653</v>
      </c>
      <c r="D36" s="143" t="s">
        <v>702</v>
      </c>
      <c r="E36" s="145"/>
      <c r="F36" s="146" t="str">
        <f>CONCATENATE(A36,".",B36&amp;C36,IF(D36="","",CONCATENATE(".",D36)))</f>
        <v>A.131.03_Ag</v>
      </c>
      <c r="G36" s="147" t="s">
        <v>703</v>
      </c>
      <c r="H36" s="146" t="str">
        <f>VLOOKUP(I36,[1]Scheme!D:F,3,0)</f>
        <v>A01.03</v>
      </c>
      <c r="I36" s="147" t="s">
        <v>663</v>
      </c>
      <c r="J36" s="146" t="str">
        <f>VLOOKUP(K36,[1]Scheme!B:C,2,0)</f>
        <v>A01</v>
      </c>
      <c r="K36" s="147" t="s">
        <v>652</v>
      </c>
      <c r="L36" s="148"/>
    </row>
    <row r="37" spans="1:12" s="149" customFormat="1" ht="12">
      <c r="A37" s="143" t="s">
        <v>650</v>
      </c>
      <c r="B37" s="144">
        <v>13</v>
      </c>
      <c r="C37" s="143" t="s">
        <v>653</v>
      </c>
      <c r="D37" s="143" t="s">
        <v>704</v>
      </c>
      <c r="E37" s="145"/>
      <c r="F37" s="146" t="str">
        <f>CONCATENATE(A37,".",B37&amp;C37,IF(D37="","",CONCATENATE(".",D37)))</f>
        <v>A.131.03_Comp</v>
      </c>
      <c r="G37" s="147" t="s">
        <v>705</v>
      </c>
      <c r="H37" s="146" t="str">
        <f>VLOOKUP(I37,[1]Scheme!D:F,3,0)</f>
        <v>A01.03</v>
      </c>
      <c r="I37" s="147" t="s">
        <v>663</v>
      </c>
      <c r="J37" s="146" t="str">
        <f>VLOOKUP(K37,[1]Scheme!B:C,2,0)</f>
        <v>A01</v>
      </c>
      <c r="K37" s="147" t="s">
        <v>652</v>
      </c>
      <c r="L37" s="148"/>
    </row>
    <row r="38" spans="1:12" s="149" customFormat="1" ht="12">
      <c r="A38" s="143" t="s">
        <v>650</v>
      </c>
      <c r="B38" s="144">
        <v>13</v>
      </c>
      <c r="C38" s="143" t="s">
        <v>653</v>
      </c>
      <c r="D38" s="143" t="s">
        <v>706</v>
      </c>
      <c r="E38" s="145"/>
      <c r="F38" s="146" t="str">
        <f t="shared" si="0"/>
        <v>A.131.04</v>
      </c>
      <c r="G38" s="147" t="s">
        <v>707</v>
      </c>
      <c r="H38" s="146" t="str">
        <f>VLOOKUP(I38,[1]Scheme!D:F,3,0)</f>
        <v>A01.04</v>
      </c>
      <c r="I38" s="147" t="s">
        <v>669</v>
      </c>
      <c r="J38" s="146" t="str">
        <f>VLOOKUP(K38,[1]Scheme!B:C,2,0)</f>
        <v>A01</v>
      </c>
      <c r="K38" s="147" t="s">
        <v>652</v>
      </c>
      <c r="L38" s="148"/>
    </row>
    <row r="39" spans="1:12" s="149" customFormat="1" ht="12">
      <c r="A39" s="143" t="s">
        <v>650</v>
      </c>
      <c r="B39" s="144">
        <v>13</v>
      </c>
      <c r="C39" s="143" t="s">
        <v>653</v>
      </c>
      <c r="D39" s="143" t="s">
        <v>708</v>
      </c>
      <c r="E39" s="145"/>
      <c r="F39" s="146" t="str">
        <f t="shared" si="0"/>
        <v>A.131.05</v>
      </c>
      <c r="G39" s="147" t="s">
        <v>709</v>
      </c>
      <c r="H39" s="146" t="str">
        <f>VLOOKUP(I39,[1]Scheme!D:F,3,0)</f>
        <v>A01.05</v>
      </c>
      <c r="I39" s="147" t="s">
        <v>671</v>
      </c>
      <c r="J39" s="146" t="str">
        <f>VLOOKUP(K39,[1]Scheme!B:C,2,0)</f>
        <v>A01</v>
      </c>
      <c r="K39" s="147" t="s">
        <v>652</v>
      </c>
      <c r="L39" s="148"/>
    </row>
    <row r="40" spans="1:12" s="149" customFormat="1" ht="12">
      <c r="A40" s="143" t="s">
        <v>650</v>
      </c>
      <c r="B40" s="144">
        <v>13</v>
      </c>
      <c r="C40" s="143" t="s">
        <v>653</v>
      </c>
      <c r="D40" s="143" t="s">
        <v>710</v>
      </c>
      <c r="E40" s="145"/>
      <c r="F40" s="146" t="str">
        <f t="shared" si="0"/>
        <v>A.131.06</v>
      </c>
      <c r="G40" s="147" t="s">
        <v>711</v>
      </c>
      <c r="H40" s="146" t="str">
        <f>VLOOKUP(I40,[1]Scheme!D:F,3,0)</f>
        <v>A01.06</v>
      </c>
      <c r="I40" s="147" t="s">
        <v>673</v>
      </c>
      <c r="J40" s="146" t="str">
        <f>VLOOKUP(K40,[1]Scheme!B:C,2,0)</f>
        <v>A01</v>
      </c>
      <c r="K40" s="147" t="s">
        <v>652</v>
      </c>
      <c r="L40" s="148"/>
    </row>
    <row r="41" spans="1:12" s="149" customFormat="1" ht="12">
      <c r="A41" s="143" t="s">
        <v>650</v>
      </c>
      <c r="B41" s="144">
        <v>13</v>
      </c>
      <c r="C41" s="143" t="s">
        <v>658</v>
      </c>
      <c r="D41" s="143"/>
      <c r="E41" s="145"/>
      <c r="F41" s="146" t="str">
        <f t="shared" si="0"/>
        <v>A.132</v>
      </c>
      <c r="G41" s="147" t="s">
        <v>712</v>
      </c>
      <c r="H41" s="146" t="str">
        <f>VLOOKUP(I41,[1]Scheme!D:F,3,0)</f>
        <v>A01.06</v>
      </c>
      <c r="I41" s="147" t="s">
        <v>673</v>
      </c>
      <c r="J41" s="146" t="str">
        <f>VLOOKUP(K41,[1]Scheme!B:C,2,0)</f>
        <v>A01</v>
      </c>
      <c r="K41" s="147" t="s">
        <v>652</v>
      </c>
      <c r="L41" s="148"/>
    </row>
    <row r="42" spans="1:12" s="149" customFormat="1" ht="12">
      <c r="A42" s="143" t="s">
        <v>650</v>
      </c>
      <c r="B42" s="144">
        <v>13</v>
      </c>
      <c r="C42" s="143" t="s">
        <v>660</v>
      </c>
      <c r="D42" s="143"/>
      <c r="E42" s="145"/>
      <c r="F42" s="146" t="str">
        <f t="shared" si="0"/>
        <v>A.133</v>
      </c>
      <c r="G42" s="147" t="s">
        <v>713</v>
      </c>
      <c r="H42" s="146" t="str">
        <f>VLOOKUP(I42,[1]Scheme!D:F,3,0)</f>
        <v>A04.01</v>
      </c>
      <c r="I42" s="147" t="s">
        <v>684</v>
      </c>
      <c r="J42" s="146" t="str">
        <f>VLOOKUP(K42,[1]Scheme!B:C,2,0)</f>
        <v>A04</v>
      </c>
      <c r="K42" s="147" t="s">
        <v>685</v>
      </c>
      <c r="L42" s="148"/>
    </row>
    <row r="43" spans="1:12" s="149" customFormat="1" ht="12">
      <c r="A43" s="143" t="s">
        <v>650</v>
      </c>
      <c r="B43" s="144">
        <v>13</v>
      </c>
      <c r="C43" s="143" t="s">
        <v>660</v>
      </c>
      <c r="D43" s="143" t="s">
        <v>692</v>
      </c>
      <c r="E43" s="145"/>
      <c r="F43" s="146" t="str">
        <f t="shared" si="0"/>
        <v>A.133.01</v>
      </c>
      <c r="G43" s="147" t="s">
        <v>714</v>
      </c>
      <c r="H43" s="146" t="str">
        <f>VLOOKUP(I43,[1]Scheme!D:F,3,0)</f>
        <v>A04.02</v>
      </c>
      <c r="I43" s="147" t="s">
        <v>694</v>
      </c>
      <c r="J43" s="146" t="str">
        <f>VLOOKUP(K43,[1]Scheme!B:C,2,0)</f>
        <v>A04</v>
      </c>
      <c r="K43" s="147" t="s">
        <v>685</v>
      </c>
      <c r="L43" s="148"/>
    </row>
    <row r="44" spans="1:12" s="149" customFormat="1" ht="12">
      <c r="A44" s="143" t="s">
        <v>650</v>
      </c>
      <c r="B44" s="144">
        <v>10</v>
      </c>
      <c r="C44" s="143"/>
      <c r="D44" s="143" t="s">
        <v>715</v>
      </c>
      <c r="E44" s="145"/>
      <c r="F44" s="146" t="str">
        <f t="shared" si="0"/>
        <v>A.10.A.1</v>
      </c>
      <c r="G44" s="147" t="s">
        <v>716</v>
      </c>
      <c r="H44" s="146" t="str">
        <f>VLOOKUP(I44,[1]Scheme!D:F,3,0)</f>
        <v>A0X.01</v>
      </c>
      <c r="I44" s="147" t="s">
        <v>717</v>
      </c>
      <c r="J44" s="146" t="str">
        <f>VLOOKUP(K44,[1]Scheme!B:C,2,0)</f>
        <v>A0X</v>
      </c>
      <c r="K44" s="147" t="s">
        <v>717</v>
      </c>
      <c r="L44" s="148"/>
    </row>
    <row r="45" spans="1:12" s="149" customFormat="1" ht="12">
      <c r="A45" s="143" t="s">
        <v>650</v>
      </c>
      <c r="B45" s="144">
        <v>10</v>
      </c>
      <c r="C45" s="143"/>
      <c r="D45" s="143" t="s">
        <v>718</v>
      </c>
      <c r="E45" s="145"/>
      <c r="F45" s="146" t="str">
        <f t="shared" si="0"/>
        <v>A.10.A.2</v>
      </c>
      <c r="G45" s="147" t="s">
        <v>719</v>
      </c>
      <c r="H45" s="146" t="str">
        <f>VLOOKUP(I45,[1]Scheme!D:F,3,0)</f>
        <v>A0X.01</v>
      </c>
      <c r="I45" s="147" t="s">
        <v>717</v>
      </c>
      <c r="J45" s="146" t="str">
        <f>VLOOKUP(K45,[1]Scheme!B:C,2,0)</f>
        <v>A0X</v>
      </c>
      <c r="K45" s="147" t="s">
        <v>717</v>
      </c>
      <c r="L45" s="148"/>
    </row>
    <row r="46" spans="1:12" s="149" customFormat="1" ht="12">
      <c r="A46" s="143" t="s">
        <v>650</v>
      </c>
      <c r="B46" s="144">
        <v>10</v>
      </c>
      <c r="C46" s="143"/>
      <c r="D46" s="143" t="s">
        <v>720</v>
      </c>
      <c r="E46" s="145"/>
      <c r="F46" s="146" t="str">
        <f t="shared" si="0"/>
        <v>A.10.A.3</v>
      </c>
      <c r="G46" s="147" t="s">
        <v>721</v>
      </c>
      <c r="H46" s="146" t="str">
        <f>VLOOKUP(I46,[1]Scheme!D:F,3,0)</f>
        <v>A0X.01</v>
      </c>
      <c r="I46" s="147" t="s">
        <v>717</v>
      </c>
      <c r="J46" s="146" t="str">
        <f>VLOOKUP(K46,[1]Scheme!B:C,2,0)</f>
        <v>A0X</v>
      </c>
      <c r="K46" s="147" t="s">
        <v>717</v>
      </c>
      <c r="L46" s="148"/>
    </row>
    <row r="47" spans="1:12" s="149" customFormat="1" ht="12">
      <c r="A47" s="143" t="s">
        <v>650</v>
      </c>
      <c r="B47" s="144">
        <v>10</v>
      </c>
      <c r="C47" s="143"/>
      <c r="D47" s="143" t="s">
        <v>722</v>
      </c>
      <c r="E47" s="145"/>
      <c r="F47" s="146" t="str">
        <f t="shared" si="0"/>
        <v>A.10.A.4</v>
      </c>
      <c r="G47" s="147" t="s">
        <v>723</v>
      </c>
      <c r="H47" s="146" t="str">
        <f>VLOOKUP(I47,[1]Scheme!D:F,3,0)</f>
        <v>A0X.01</v>
      </c>
      <c r="I47" s="147" t="s">
        <v>717</v>
      </c>
      <c r="J47" s="146" t="str">
        <f>VLOOKUP(K47,[1]Scheme!B:C,2,0)</f>
        <v>A0X</v>
      </c>
      <c r="K47" s="147" t="s">
        <v>717</v>
      </c>
      <c r="L47" s="148"/>
    </row>
    <row r="48" spans="1:12" s="149" customFormat="1" ht="12">
      <c r="A48" s="143" t="s">
        <v>650</v>
      </c>
      <c r="B48" s="144">
        <v>13</v>
      </c>
      <c r="C48" s="143"/>
      <c r="D48" s="143" t="s">
        <v>715</v>
      </c>
      <c r="E48" s="145"/>
      <c r="F48" s="146" t="str">
        <f t="shared" si="0"/>
        <v>A.13.A.1</v>
      </c>
      <c r="G48" s="147" t="s">
        <v>724</v>
      </c>
      <c r="H48" s="146" t="str">
        <f>VLOOKUP(I48,[1]Scheme!D:F,3,0)</f>
        <v>A0X.01</v>
      </c>
      <c r="I48" s="147" t="s">
        <v>717</v>
      </c>
      <c r="J48" s="146" t="str">
        <f>VLOOKUP(K48,[1]Scheme!B:C,2,0)</f>
        <v>A0X</v>
      </c>
      <c r="K48" s="147" t="s">
        <v>717</v>
      </c>
      <c r="L48" s="148"/>
    </row>
    <row r="49" spans="1:12" s="149" customFormat="1" ht="12">
      <c r="A49" s="143" t="s">
        <v>650</v>
      </c>
      <c r="B49" s="144">
        <v>13</v>
      </c>
      <c r="C49" s="143"/>
      <c r="D49" s="143" t="s">
        <v>718</v>
      </c>
      <c r="E49" s="145"/>
      <c r="F49" s="146" t="str">
        <f t="shared" si="0"/>
        <v>A.13.A.2</v>
      </c>
      <c r="G49" s="147" t="s">
        <v>725</v>
      </c>
      <c r="H49" s="146" t="str">
        <f>VLOOKUP(I49,[1]Scheme!D:F,3,0)</f>
        <v>A0X.01</v>
      </c>
      <c r="I49" s="147" t="s">
        <v>717</v>
      </c>
      <c r="J49" s="146" t="str">
        <f>VLOOKUP(K49,[1]Scheme!B:C,2,0)</f>
        <v>A0X</v>
      </c>
      <c r="K49" s="147" t="s">
        <v>717</v>
      </c>
      <c r="L49" s="148"/>
    </row>
    <row r="50" spans="1:12" s="149" customFormat="1" ht="12.75">
      <c r="A50" s="143" t="s">
        <v>650</v>
      </c>
      <c r="B50" s="144">
        <v>13</v>
      </c>
      <c r="C50" s="143"/>
      <c r="D50" s="143" t="s">
        <v>720</v>
      </c>
      <c r="E50" s="145"/>
      <c r="F50" s="146" t="str">
        <f t="shared" si="0"/>
        <v>A.13.A.3</v>
      </c>
      <c r="G50" s="147" t="s">
        <v>726</v>
      </c>
      <c r="H50" s="146" t="s">
        <v>656</v>
      </c>
      <c r="I50" s="150" t="s">
        <v>655</v>
      </c>
      <c r="J50" s="146" t="s">
        <v>656</v>
      </c>
      <c r="K50" s="150" t="s">
        <v>655</v>
      </c>
      <c r="L50" s="148"/>
    </row>
    <row r="51" spans="1:12" s="149" customFormat="1" ht="12">
      <c r="A51" s="143" t="s">
        <v>650</v>
      </c>
      <c r="B51" s="144">
        <v>13</v>
      </c>
      <c r="C51" s="143"/>
      <c r="D51" s="143" t="s">
        <v>727</v>
      </c>
      <c r="E51" s="145"/>
      <c r="F51" s="146" t="str">
        <f t="shared" si="0"/>
        <v>A.13.P</v>
      </c>
      <c r="G51" s="147" t="s">
        <v>728</v>
      </c>
      <c r="H51" s="146" t="str">
        <f>VLOOKUP(I51,[1]Scheme!D:F,3,0)</f>
        <v>A0X.01</v>
      </c>
      <c r="I51" s="147" t="s">
        <v>717</v>
      </c>
      <c r="J51" s="146" t="str">
        <f>VLOOKUP(K51,[1]Scheme!B:C,2,0)</f>
        <v>A0X</v>
      </c>
      <c r="K51" s="147" t="s">
        <v>717</v>
      </c>
      <c r="L51" s="148"/>
    </row>
    <row r="52" spans="1:12" s="149" customFormat="1" ht="12">
      <c r="A52" s="143" t="s">
        <v>650</v>
      </c>
      <c r="B52" s="144">
        <v>14</v>
      </c>
      <c r="C52" s="143"/>
      <c r="D52" s="143"/>
      <c r="E52" s="145"/>
      <c r="F52" s="146" t="str">
        <f t="shared" si="0"/>
        <v>A.14</v>
      </c>
      <c r="G52" s="147" t="s">
        <v>729</v>
      </c>
      <c r="H52" s="146" t="str">
        <f>VLOOKUP(I52,[1]Scheme!D:F,3,0)</f>
        <v>A07.01</v>
      </c>
      <c r="I52" s="147" t="s">
        <v>730</v>
      </c>
      <c r="J52" s="146" t="str">
        <f>VLOOKUP(K52,[1]Scheme!B:C,2,0)</f>
        <v>A07</v>
      </c>
      <c r="K52" s="147" t="s">
        <v>730</v>
      </c>
      <c r="L52" s="148"/>
    </row>
    <row r="53" spans="1:12" s="149" customFormat="1" ht="12">
      <c r="A53" s="143" t="s">
        <v>650</v>
      </c>
      <c r="B53" s="144">
        <v>14</v>
      </c>
      <c r="C53" s="143" t="s">
        <v>653</v>
      </c>
      <c r="D53" s="143"/>
      <c r="E53" s="145"/>
      <c r="F53" s="146" t="str">
        <f t="shared" si="0"/>
        <v>A.141</v>
      </c>
      <c r="G53" s="147" t="s">
        <v>731</v>
      </c>
      <c r="H53" s="146" t="str">
        <f>VLOOKUP(I53,[1]Scheme!D:F,3,0)</f>
        <v>A07.01</v>
      </c>
      <c r="I53" s="147" t="s">
        <v>730</v>
      </c>
      <c r="J53" s="146" t="str">
        <f>VLOOKUP(K53,[1]Scheme!B:C,2,0)</f>
        <v>A07</v>
      </c>
      <c r="K53" s="147" t="s">
        <v>730</v>
      </c>
      <c r="L53" s="148"/>
    </row>
    <row r="54" spans="1:12" s="149" customFormat="1" ht="12">
      <c r="A54" s="143" t="s">
        <v>650</v>
      </c>
      <c r="B54" s="144">
        <v>14</v>
      </c>
      <c r="C54" s="143" t="s">
        <v>653</v>
      </c>
      <c r="D54" s="143" t="s">
        <v>692</v>
      </c>
      <c r="E54" s="145"/>
      <c r="F54" s="146" t="str">
        <f t="shared" si="0"/>
        <v>A.141.01</v>
      </c>
      <c r="G54" s="147" t="s">
        <v>732</v>
      </c>
      <c r="H54" s="146" t="str">
        <f>VLOOKUP(I54,[1]Scheme!D:F,3,0)</f>
        <v>A07.01</v>
      </c>
      <c r="I54" s="147" t="s">
        <v>730</v>
      </c>
      <c r="J54" s="146" t="str">
        <f>VLOOKUP(K54,[1]Scheme!B:C,2,0)</f>
        <v>A07</v>
      </c>
      <c r="K54" s="147" t="s">
        <v>730</v>
      </c>
      <c r="L54" s="148"/>
    </row>
    <row r="55" spans="1:12" s="149" customFormat="1" ht="12">
      <c r="A55" s="143" t="s">
        <v>650</v>
      </c>
      <c r="B55" s="144">
        <v>14</v>
      </c>
      <c r="C55" s="143" t="s">
        <v>653</v>
      </c>
      <c r="D55" s="143" t="s">
        <v>698</v>
      </c>
      <c r="E55" s="145"/>
      <c r="F55" s="146" t="str">
        <f t="shared" si="0"/>
        <v>A.141.02</v>
      </c>
      <c r="G55" s="147" t="s">
        <v>733</v>
      </c>
      <c r="H55" s="146" t="str">
        <f>VLOOKUP(I55,[1]Scheme!D:F,3,0)</f>
        <v>A07.01</v>
      </c>
      <c r="I55" s="147" t="s">
        <v>730</v>
      </c>
      <c r="J55" s="146" t="str">
        <f>VLOOKUP(K55,[1]Scheme!B:C,2,0)</f>
        <v>A07</v>
      </c>
      <c r="K55" s="147" t="s">
        <v>730</v>
      </c>
      <c r="L55" s="148"/>
    </row>
    <row r="56" spans="1:12" s="149" customFormat="1" ht="12">
      <c r="A56" s="143" t="s">
        <v>650</v>
      </c>
      <c r="B56" s="144">
        <v>14</v>
      </c>
      <c r="C56" s="143" t="s">
        <v>653</v>
      </c>
      <c r="D56" s="143" t="s">
        <v>700</v>
      </c>
      <c r="E56" s="145"/>
      <c r="F56" s="146" t="str">
        <f t="shared" si="0"/>
        <v>A.141.03</v>
      </c>
      <c r="G56" s="147" t="s">
        <v>734</v>
      </c>
      <c r="H56" s="146" t="str">
        <f>VLOOKUP(I56,[1]Scheme!D:F,3,0)</f>
        <v>A07.01</v>
      </c>
      <c r="I56" s="147" t="s">
        <v>730</v>
      </c>
      <c r="J56" s="146" t="str">
        <f>VLOOKUP(K56,[1]Scheme!B:C,2,0)</f>
        <v>A07</v>
      </c>
      <c r="K56" s="147" t="s">
        <v>730</v>
      </c>
      <c r="L56" s="148"/>
    </row>
    <row r="57" spans="1:12" s="149" customFormat="1" ht="12">
      <c r="A57" s="143" t="s">
        <v>650</v>
      </c>
      <c r="B57" s="144">
        <v>14</v>
      </c>
      <c r="C57" s="143" t="s">
        <v>658</v>
      </c>
      <c r="D57" s="143"/>
      <c r="E57" s="145"/>
      <c r="F57" s="146" t="str">
        <f t="shared" si="0"/>
        <v>A.142</v>
      </c>
      <c r="G57" s="147" t="s">
        <v>735</v>
      </c>
      <c r="H57" s="146" t="str">
        <f>VLOOKUP(I57,[1]Scheme!D:F,3,0)</f>
        <v>A07.01</v>
      </c>
      <c r="I57" s="147" t="s">
        <v>730</v>
      </c>
      <c r="J57" s="146" t="str">
        <f>VLOOKUP(K57,[1]Scheme!B:C,2,0)</f>
        <v>A07</v>
      </c>
      <c r="K57" s="147" t="s">
        <v>730</v>
      </c>
      <c r="L57" s="148"/>
    </row>
    <row r="58" spans="1:12" s="149" customFormat="1" ht="12">
      <c r="A58" s="143" t="s">
        <v>650</v>
      </c>
      <c r="B58" s="144">
        <v>14</v>
      </c>
      <c r="C58" s="143" t="s">
        <v>660</v>
      </c>
      <c r="D58" s="143"/>
      <c r="E58" s="145"/>
      <c r="F58" s="146" t="str">
        <f t="shared" si="0"/>
        <v>A.143</v>
      </c>
      <c r="G58" s="147" t="s">
        <v>736</v>
      </c>
      <c r="H58" s="146" t="str">
        <f>VLOOKUP(I58,[1]Scheme!D:F,3,0)</f>
        <v>A07.01</v>
      </c>
      <c r="I58" s="147" t="s">
        <v>730</v>
      </c>
      <c r="J58" s="146" t="str">
        <f>VLOOKUP(K58,[1]Scheme!B:C,2,0)</f>
        <v>A07</v>
      </c>
      <c r="K58" s="147" t="s">
        <v>730</v>
      </c>
      <c r="L58" s="148"/>
    </row>
    <row r="59" spans="1:12" s="149" customFormat="1" ht="12">
      <c r="A59" s="143" t="s">
        <v>650</v>
      </c>
      <c r="B59" s="144">
        <v>15</v>
      </c>
      <c r="C59" s="143"/>
      <c r="D59" s="143"/>
      <c r="E59" s="145"/>
      <c r="F59" s="146" t="str">
        <f t="shared" si="0"/>
        <v>A.15</v>
      </c>
      <c r="G59" s="147" t="s">
        <v>737</v>
      </c>
      <c r="H59" s="146" t="str">
        <f>VLOOKUP(I59,[1]Scheme!D:F,3,0)</f>
        <v>A01.07</v>
      </c>
      <c r="I59" s="147" t="s">
        <v>738</v>
      </c>
      <c r="J59" s="146" t="str">
        <f>VLOOKUP(K59,[1]Scheme!B:C,2,0)</f>
        <v>A01</v>
      </c>
      <c r="K59" s="147" t="s">
        <v>652</v>
      </c>
      <c r="L59" s="148"/>
    </row>
    <row r="60" spans="1:12" s="149" customFormat="1" ht="12">
      <c r="A60" s="143" t="s">
        <v>650</v>
      </c>
      <c r="B60" s="144">
        <v>15</v>
      </c>
      <c r="C60" s="143" t="s">
        <v>653</v>
      </c>
      <c r="D60" s="143"/>
      <c r="E60" s="145"/>
      <c r="F60" s="146" t="str">
        <f t="shared" si="0"/>
        <v>A.151</v>
      </c>
      <c r="G60" s="147" t="s">
        <v>739</v>
      </c>
      <c r="H60" s="146" t="str">
        <f>VLOOKUP(I60,[1]Scheme!D:F,3,0)</f>
        <v>A01.07</v>
      </c>
      <c r="I60" s="147" t="s">
        <v>738</v>
      </c>
      <c r="J60" s="146" t="str">
        <f>VLOOKUP(K60,[1]Scheme!B:C,2,0)</f>
        <v>A01</v>
      </c>
      <c r="K60" s="147" t="s">
        <v>652</v>
      </c>
      <c r="L60" s="148"/>
    </row>
    <row r="61" spans="1:12" s="149" customFormat="1" ht="12">
      <c r="A61" s="143" t="s">
        <v>650</v>
      </c>
      <c r="B61" s="144">
        <v>15</v>
      </c>
      <c r="C61" s="143" t="s">
        <v>658</v>
      </c>
      <c r="D61" s="143"/>
      <c r="E61" s="145"/>
      <c r="F61" s="146" t="str">
        <f t="shared" si="0"/>
        <v>A.152</v>
      </c>
      <c r="G61" s="147" t="s">
        <v>740</v>
      </c>
      <c r="H61" s="146" t="str">
        <f>VLOOKUP(I61,[1]Scheme!D:F,3,0)</f>
        <v>A01.07</v>
      </c>
      <c r="I61" s="147" t="s">
        <v>738</v>
      </c>
      <c r="J61" s="146" t="str">
        <f>VLOOKUP(K61,[1]Scheme!B:C,2,0)</f>
        <v>A01</v>
      </c>
      <c r="K61" s="147" t="s">
        <v>652</v>
      </c>
      <c r="L61" s="148"/>
    </row>
    <row r="62" spans="1:12" s="149" customFormat="1" ht="12">
      <c r="A62" s="143" t="s">
        <v>650</v>
      </c>
      <c r="B62" s="144">
        <v>15</v>
      </c>
      <c r="C62" s="143" t="s">
        <v>660</v>
      </c>
      <c r="D62" s="143"/>
      <c r="E62" s="145"/>
      <c r="F62" s="146" t="str">
        <f t="shared" si="0"/>
        <v>A.153</v>
      </c>
      <c r="G62" s="147" t="s">
        <v>741</v>
      </c>
      <c r="H62" s="146" t="str">
        <f>VLOOKUP(I62,[1]Scheme!D:F,3,0)</f>
        <v>A01.07</v>
      </c>
      <c r="I62" s="147" t="s">
        <v>738</v>
      </c>
      <c r="J62" s="146" t="str">
        <f>VLOOKUP(K62,[1]Scheme!B:C,2,0)</f>
        <v>A01</v>
      </c>
      <c r="K62" s="147" t="s">
        <v>652</v>
      </c>
      <c r="L62" s="148"/>
    </row>
    <row r="63" spans="1:12" s="149" customFormat="1" ht="12">
      <c r="A63" s="143" t="s">
        <v>650</v>
      </c>
      <c r="B63" s="144">
        <v>15</v>
      </c>
      <c r="C63" s="143" t="s">
        <v>662</v>
      </c>
      <c r="D63" s="143"/>
      <c r="E63" s="145"/>
      <c r="F63" s="146" t="str">
        <f t="shared" si="0"/>
        <v>A.154</v>
      </c>
      <c r="G63" s="147" t="s">
        <v>742</v>
      </c>
      <c r="H63" s="146" t="str">
        <f>VLOOKUP(I63,[1]Scheme!D:F,3,0)</f>
        <v>A04.01</v>
      </c>
      <c r="I63" s="147" t="s">
        <v>684</v>
      </c>
      <c r="J63" s="146" t="str">
        <f>VLOOKUP(K63,[1]Scheme!B:C,2,0)</f>
        <v>A04</v>
      </c>
      <c r="K63" s="147" t="s">
        <v>685</v>
      </c>
      <c r="L63" s="148"/>
    </row>
    <row r="64" spans="1:12" s="149" customFormat="1" ht="12">
      <c r="A64" s="143" t="s">
        <v>650</v>
      </c>
      <c r="B64" s="144">
        <v>17</v>
      </c>
      <c r="C64" s="143"/>
      <c r="D64" s="143"/>
      <c r="E64" s="145"/>
      <c r="F64" s="146" t="str">
        <f t="shared" si="0"/>
        <v>A.17</v>
      </c>
      <c r="G64" s="147" t="s">
        <v>743</v>
      </c>
      <c r="H64" s="146" t="str">
        <f>VLOOKUP(I64,[1]Scheme!D:F,3,0)</f>
        <v>A10.01</v>
      </c>
      <c r="I64" s="147" t="s">
        <v>743</v>
      </c>
      <c r="J64" s="146" t="str">
        <f>VLOOKUP(K64,[1]Scheme!B:C,2,0)</f>
        <v>A10</v>
      </c>
      <c r="K64" s="147" t="s">
        <v>743</v>
      </c>
      <c r="L64" s="148"/>
    </row>
    <row r="65" spans="1:12" s="149" customFormat="1" ht="12">
      <c r="A65" s="143" t="s">
        <v>650</v>
      </c>
      <c r="B65" s="144">
        <v>17</v>
      </c>
      <c r="C65" s="143" t="s">
        <v>653</v>
      </c>
      <c r="D65" s="143"/>
      <c r="E65" s="145"/>
      <c r="F65" s="146" t="str">
        <f t="shared" si="0"/>
        <v>A.171</v>
      </c>
      <c r="G65" s="147" t="s">
        <v>744</v>
      </c>
      <c r="H65" s="146" t="str">
        <f>VLOOKUP(I65,[1]Scheme!D:F,3,0)</f>
        <v>A10.01</v>
      </c>
      <c r="I65" s="147" t="s">
        <v>743</v>
      </c>
      <c r="J65" s="146" t="str">
        <f>VLOOKUP(K65,[1]Scheme!B:C,2,0)</f>
        <v>A10</v>
      </c>
      <c r="K65" s="147" t="s">
        <v>743</v>
      </c>
      <c r="L65" s="148"/>
    </row>
    <row r="66" spans="1:12" s="149" customFormat="1" ht="12">
      <c r="A66" s="143" t="s">
        <v>650</v>
      </c>
      <c r="B66" s="144">
        <v>17</v>
      </c>
      <c r="C66" s="143" t="s">
        <v>658</v>
      </c>
      <c r="D66" s="143"/>
      <c r="E66" s="145"/>
      <c r="F66" s="146" t="str">
        <f t="shared" si="0"/>
        <v>A.172</v>
      </c>
      <c r="G66" s="147" t="s">
        <v>745</v>
      </c>
      <c r="H66" s="146" t="str">
        <f>VLOOKUP(I66,[1]Scheme!D:F,3,0)</f>
        <v>A10.01</v>
      </c>
      <c r="I66" s="147" t="s">
        <v>743</v>
      </c>
      <c r="J66" s="146" t="str">
        <f>VLOOKUP(K66,[1]Scheme!B:C,2,0)</f>
        <v>A10</v>
      </c>
      <c r="K66" s="147" t="s">
        <v>743</v>
      </c>
      <c r="L66" s="148"/>
    </row>
    <row r="67" spans="1:12" s="149" customFormat="1" ht="12">
      <c r="A67" s="143" t="s">
        <v>650</v>
      </c>
      <c r="B67" s="144">
        <v>18</v>
      </c>
      <c r="C67" s="143"/>
      <c r="D67" s="143"/>
      <c r="E67" s="145"/>
      <c r="F67" s="146" t="str">
        <f t="shared" si="0"/>
        <v>A.18</v>
      </c>
      <c r="G67" s="147" t="s">
        <v>746</v>
      </c>
      <c r="H67" s="146" t="str">
        <f>VLOOKUP(I67,[1]Scheme!D:F,3,0)</f>
        <v>A09.01</v>
      </c>
      <c r="I67" s="147" t="s">
        <v>747</v>
      </c>
      <c r="J67" s="146" t="str">
        <f>VLOOKUP(K67,[1]Scheme!B:C,2,0)</f>
        <v>A09</v>
      </c>
      <c r="K67" s="147" t="s">
        <v>747</v>
      </c>
      <c r="L67" s="148"/>
    </row>
    <row r="68" spans="1:12" s="149" customFormat="1" ht="12">
      <c r="A68" s="143" t="s">
        <v>650</v>
      </c>
      <c r="B68" s="144">
        <v>18</v>
      </c>
      <c r="C68" s="143" t="s">
        <v>662</v>
      </c>
      <c r="D68" s="143"/>
      <c r="E68" s="145"/>
      <c r="F68" s="146" t="str">
        <f>CONCATENATE(A68,".",B68&amp;C68,IF(D68="","",CONCATENATE(".",D68)))</f>
        <v>A.184</v>
      </c>
      <c r="G68" s="147" t="s">
        <v>748</v>
      </c>
      <c r="H68" s="146" t="str">
        <f>VLOOKUP(I68,[1]Scheme!D:F,3,0)</f>
        <v>A09.01</v>
      </c>
      <c r="I68" s="147" t="s">
        <v>747</v>
      </c>
      <c r="J68" s="146" t="str">
        <f>VLOOKUP(K68,[1]Scheme!B:C,2,0)</f>
        <v>A09</v>
      </c>
      <c r="K68" s="147" t="s">
        <v>747</v>
      </c>
      <c r="L68" s="148"/>
    </row>
    <row r="69" spans="1:12" s="149" customFormat="1" ht="12">
      <c r="A69" s="143" t="s">
        <v>650</v>
      </c>
      <c r="B69" s="144">
        <v>20</v>
      </c>
      <c r="C69" s="143"/>
      <c r="D69" s="143"/>
      <c r="E69" s="145"/>
      <c r="F69" s="146" t="str">
        <f t="shared" si="0"/>
        <v>A.20</v>
      </c>
      <c r="G69" s="147" t="s">
        <v>749</v>
      </c>
      <c r="H69" s="146" t="str">
        <f>VLOOKUP(I69,[1]Scheme!D:F,3,0)</f>
        <v>A11.08</v>
      </c>
      <c r="I69" s="147" t="s">
        <v>750</v>
      </c>
      <c r="J69" s="146" t="str">
        <f>VLOOKUP(K69,[1]Scheme!B:C,2,0)</f>
        <v>A11</v>
      </c>
      <c r="K69" s="147" t="s">
        <v>751</v>
      </c>
      <c r="L69" s="148"/>
    </row>
    <row r="70" spans="1:12" s="149" customFormat="1" ht="12">
      <c r="A70" s="143" t="s">
        <v>650</v>
      </c>
      <c r="B70" s="144">
        <v>20</v>
      </c>
      <c r="C70" s="143" t="s">
        <v>653</v>
      </c>
      <c r="D70" s="143"/>
      <c r="E70" s="145"/>
      <c r="F70" s="146" t="str">
        <f t="shared" si="0"/>
        <v>A.201</v>
      </c>
      <c r="G70" s="147" t="s">
        <v>752</v>
      </c>
      <c r="H70" s="146" t="str">
        <f>VLOOKUP(I70,[1]Scheme!D:F,3,0)</f>
        <v>A11.01</v>
      </c>
      <c r="I70" s="147" t="s">
        <v>753</v>
      </c>
      <c r="J70" s="146" t="str">
        <f>VLOOKUP(K70,[1]Scheme!B:C,2,0)</f>
        <v>A11</v>
      </c>
      <c r="K70" s="147" t="s">
        <v>751</v>
      </c>
      <c r="L70" s="148"/>
    </row>
    <row r="71" spans="1:12" s="149" customFormat="1" ht="12">
      <c r="A71" s="143" t="s">
        <v>650</v>
      </c>
      <c r="B71" s="144">
        <v>20</v>
      </c>
      <c r="C71" s="143" t="s">
        <v>658</v>
      </c>
      <c r="D71" s="143"/>
      <c r="E71" s="145"/>
      <c r="F71" s="146" t="str">
        <f t="shared" si="0"/>
        <v>A.202</v>
      </c>
      <c r="G71" s="147" t="s">
        <v>754</v>
      </c>
      <c r="H71" s="146" t="str">
        <f>VLOOKUP(I71,[1]Scheme!D:F,3,0)</f>
        <v>A11.08</v>
      </c>
      <c r="I71" s="147" t="s">
        <v>750</v>
      </c>
      <c r="J71" s="146" t="str">
        <f>VLOOKUP(K71,[1]Scheme!B:C,2,0)</f>
        <v>A11</v>
      </c>
      <c r="K71" s="147" t="s">
        <v>751</v>
      </c>
      <c r="L71" s="148"/>
    </row>
    <row r="72" spans="1:12" s="149" customFormat="1" ht="12">
      <c r="A72" s="143" t="s">
        <v>650</v>
      </c>
      <c r="B72" s="144">
        <v>20</v>
      </c>
      <c r="C72" s="143" t="s">
        <v>660</v>
      </c>
      <c r="D72" s="143"/>
      <c r="E72" s="145"/>
      <c r="F72" s="146" t="str">
        <f t="shared" si="0"/>
        <v>A.203</v>
      </c>
      <c r="G72" s="147" t="s">
        <v>755</v>
      </c>
      <c r="H72" s="146" t="str">
        <f>VLOOKUP(I72,[1]Scheme!D:F,3,0)</f>
        <v>A11.05</v>
      </c>
      <c r="I72" s="147" t="s">
        <v>756</v>
      </c>
      <c r="J72" s="146" t="str">
        <f>VLOOKUP(K72,[1]Scheme!B:C,2,0)</f>
        <v>A11</v>
      </c>
      <c r="K72" s="147" t="s">
        <v>751</v>
      </c>
      <c r="L72" s="148"/>
    </row>
    <row r="73" spans="1:12" s="149" customFormat="1" ht="12">
      <c r="A73" s="143" t="s">
        <v>650</v>
      </c>
      <c r="B73" s="144">
        <v>20</v>
      </c>
      <c r="C73" s="143" t="s">
        <v>662</v>
      </c>
      <c r="D73" s="143"/>
      <c r="E73" s="145"/>
      <c r="F73" s="146" t="str">
        <f t="shared" si="0"/>
        <v>A.204</v>
      </c>
      <c r="G73" s="147" t="s">
        <v>757</v>
      </c>
      <c r="H73" s="146" t="str">
        <f>VLOOKUP(I73,[1]Scheme!D:F,3,0)</f>
        <v>A11.05</v>
      </c>
      <c r="I73" s="147" t="s">
        <v>756</v>
      </c>
      <c r="J73" s="146" t="str">
        <f>VLOOKUP(K73,[1]Scheme!B:C,2,0)</f>
        <v>A11</v>
      </c>
      <c r="K73" s="147" t="s">
        <v>751</v>
      </c>
      <c r="L73" s="148"/>
    </row>
    <row r="74" spans="1:12" s="149" customFormat="1" ht="12">
      <c r="A74" s="143" t="s">
        <v>650</v>
      </c>
      <c r="B74" s="144">
        <v>20</v>
      </c>
      <c r="C74" s="143" t="s">
        <v>668</v>
      </c>
      <c r="D74" s="143"/>
      <c r="E74" s="145"/>
      <c r="F74" s="146" t="str">
        <f t="shared" ref="F74:F139" si="1">CONCATENATE(A74,".",B74&amp;C74,IF(D74="","",CONCATENATE(".",D74)))</f>
        <v>A.205</v>
      </c>
      <c r="G74" s="147" t="s">
        <v>758</v>
      </c>
      <c r="H74" s="146" t="str">
        <f>VLOOKUP(I74,[1]Scheme!D:F,3,0)</f>
        <v>A11.05</v>
      </c>
      <c r="I74" s="147" t="s">
        <v>756</v>
      </c>
      <c r="J74" s="146" t="str">
        <f>VLOOKUP(K74,[1]Scheme!B:C,2,0)</f>
        <v>A11</v>
      </c>
      <c r="K74" s="147" t="s">
        <v>751</v>
      </c>
      <c r="L74" s="148"/>
    </row>
    <row r="75" spans="1:12" s="149" customFormat="1" ht="12">
      <c r="A75" s="143" t="s">
        <v>650</v>
      </c>
      <c r="B75" s="144">
        <v>20</v>
      </c>
      <c r="C75" s="143" t="s">
        <v>668</v>
      </c>
      <c r="D75" s="143" t="s">
        <v>692</v>
      </c>
      <c r="E75" s="145"/>
      <c r="F75" s="146" t="str">
        <f t="shared" si="1"/>
        <v>A.205.01</v>
      </c>
      <c r="G75" s="147" t="s">
        <v>759</v>
      </c>
      <c r="H75" s="146" t="str">
        <f>VLOOKUP(I75,[1]Scheme!D:F,3,0)</f>
        <v>A11.05</v>
      </c>
      <c r="I75" s="147" t="s">
        <v>756</v>
      </c>
      <c r="J75" s="146" t="str">
        <f>VLOOKUP(K75,[1]Scheme!B:C,2,0)</f>
        <v>A11</v>
      </c>
      <c r="K75" s="147" t="s">
        <v>751</v>
      </c>
      <c r="L75" s="148"/>
    </row>
    <row r="76" spans="1:12" s="149" customFormat="1" ht="12">
      <c r="A76" s="143" t="s">
        <v>650</v>
      </c>
      <c r="B76" s="144">
        <v>20</v>
      </c>
      <c r="C76" s="143" t="s">
        <v>670</v>
      </c>
      <c r="D76" s="143"/>
      <c r="E76" s="145"/>
      <c r="F76" s="146" t="str">
        <f t="shared" si="1"/>
        <v>A.206</v>
      </c>
      <c r="G76" s="147" t="s">
        <v>760</v>
      </c>
      <c r="H76" s="146" t="str">
        <f>VLOOKUP(I76,[1]Scheme!D:F,3,0)</f>
        <v>A11.08</v>
      </c>
      <c r="I76" s="147" t="s">
        <v>750</v>
      </c>
      <c r="J76" s="146" t="str">
        <f>VLOOKUP(K76,[1]Scheme!B:C,2,0)</f>
        <v>A11</v>
      </c>
      <c r="K76" s="147" t="s">
        <v>751</v>
      </c>
      <c r="L76" s="148"/>
    </row>
    <row r="77" spans="1:12" s="149" customFormat="1" ht="12">
      <c r="A77" s="143" t="s">
        <v>650</v>
      </c>
      <c r="B77" s="144">
        <v>20</v>
      </c>
      <c r="C77" s="143" t="s">
        <v>681</v>
      </c>
      <c r="D77" s="143"/>
      <c r="E77" s="145"/>
      <c r="F77" s="146" t="str">
        <f t="shared" si="1"/>
        <v>A.207</v>
      </c>
      <c r="G77" s="147" t="s">
        <v>761</v>
      </c>
      <c r="H77" s="146" t="str">
        <f>VLOOKUP(I77,[1]Scheme!D:F,3,0)</f>
        <v>A11.04</v>
      </c>
      <c r="I77" s="147" t="s">
        <v>761</v>
      </c>
      <c r="J77" s="146" t="str">
        <f>VLOOKUP(K77,[1]Scheme!B:C,2,0)</f>
        <v>A11</v>
      </c>
      <c r="K77" s="147" t="s">
        <v>751</v>
      </c>
      <c r="L77" s="148"/>
    </row>
    <row r="78" spans="1:12" s="149" customFormat="1" ht="12">
      <c r="A78" s="143" t="s">
        <v>650</v>
      </c>
      <c r="B78" s="144">
        <v>20</v>
      </c>
      <c r="C78" s="143" t="s">
        <v>681</v>
      </c>
      <c r="D78" s="143" t="s">
        <v>692</v>
      </c>
      <c r="E78" s="145"/>
      <c r="F78" s="146" t="str">
        <f t="shared" si="1"/>
        <v>A.207.01</v>
      </c>
      <c r="G78" s="147" t="s">
        <v>762</v>
      </c>
      <c r="H78" s="146" t="str">
        <f>VLOOKUP(I78,[1]Scheme!D:F,3,0)</f>
        <v>A11.04</v>
      </c>
      <c r="I78" s="147" t="s">
        <v>761</v>
      </c>
      <c r="J78" s="146" t="str">
        <f>VLOOKUP(K78,[1]Scheme!B:C,2,0)</f>
        <v>A11</v>
      </c>
      <c r="K78" s="147" t="s">
        <v>751</v>
      </c>
      <c r="L78" s="148"/>
    </row>
    <row r="79" spans="1:12" s="149" customFormat="1" ht="12">
      <c r="A79" s="143" t="s">
        <v>650</v>
      </c>
      <c r="B79" s="144">
        <v>20</v>
      </c>
      <c r="C79" s="143" t="s">
        <v>763</v>
      </c>
      <c r="D79" s="143"/>
      <c r="E79" s="145"/>
      <c r="F79" s="146" t="str">
        <f t="shared" si="1"/>
        <v>A.208</v>
      </c>
      <c r="G79" s="147" t="s">
        <v>764</v>
      </c>
      <c r="H79" s="146" t="str">
        <f>VLOOKUP(I79,[1]Scheme!D:F,3,0)</f>
        <v>A11.07</v>
      </c>
      <c r="I79" s="147" t="s">
        <v>764</v>
      </c>
      <c r="J79" s="146" t="str">
        <f>VLOOKUP(K79,[1]Scheme!B:C,2,0)</f>
        <v>A11</v>
      </c>
      <c r="K79" s="147" t="s">
        <v>751</v>
      </c>
      <c r="L79" s="148"/>
    </row>
    <row r="80" spans="1:12" s="149" customFormat="1" ht="12">
      <c r="A80" s="143" t="s">
        <v>650</v>
      </c>
      <c r="B80" s="144">
        <v>20</v>
      </c>
      <c r="C80" s="143" t="s">
        <v>672</v>
      </c>
      <c r="D80" s="143"/>
      <c r="E80" s="145"/>
      <c r="F80" s="146" t="str">
        <f t="shared" si="1"/>
        <v>A.209</v>
      </c>
      <c r="G80" s="147" t="s">
        <v>765</v>
      </c>
      <c r="H80" s="146" t="str">
        <f>VLOOKUP(I80,[1]Scheme!D:F,3,0)</f>
        <v>A11.05</v>
      </c>
      <c r="I80" s="147" t="s">
        <v>756</v>
      </c>
      <c r="J80" s="146" t="str">
        <f>VLOOKUP(K80,[1]Scheme!B:C,2,0)</f>
        <v>A11</v>
      </c>
      <c r="K80" s="147" t="s">
        <v>751</v>
      </c>
      <c r="L80" s="148"/>
    </row>
    <row r="81" spans="1:12" s="149" customFormat="1" ht="12">
      <c r="A81" s="143" t="s">
        <v>650</v>
      </c>
      <c r="B81" s="144">
        <v>21</v>
      </c>
      <c r="C81" s="143"/>
      <c r="D81" s="143"/>
      <c r="E81" s="145"/>
      <c r="F81" s="146" t="str">
        <f>CONCATENATE(A81,".",B81&amp;C81,IF(D81="","",CONCATENATE(".",D81)))</f>
        <v>A.21</v>
      </c>
      <c r="G81" s="147" t="s">
        <v>766</v>
      </c>
      <c r="H81" s="146" t="str">
        <f>VLOOKUP(I81,[1]Scheme!D:F,3,0)</f>
        <v>A21.01</v>
      </c>
      <c r="I81" s="147" t="s">
        <v>766</v>
      </c>
      <c r="J81" s="146" t="str">
        <f>VLOOKUP(K81,[1]Scheme!B:C,2,0)</f>
        <v>A21</v>
      </c>
      <c r="K81" s="147" t="s">
        <v>766</v>
      </c>
      <c r="L81" s="148"/>
    </row>
    <row r="82" spans="1:12" s="149" customFormat="1" ht="12">
      <c r="A82" s="143" t="s">
        <v>650</v>
      </c>
      <c r="B82" s="144">
        <v>21</v>
      </c>
      <c r="C82" s="143" t="s">
        <v>653</v>
      </c>
      <c r="D82" s="143"/>
      <c r="E82" s="145"/>
      <c r="F82" s="146" t="str">
        <f>CONCATENATE(A82,".",B82&amp;C82,IF(D82="","",CONCATENATE(".",D82)))</f>
        <v>A.211</v>
      </c>
      <c r="G82" s="147" t="s">
        <v>767</v>
      </c>
      <c r="H82" s="146" t="str">
        <f>VLOOKUP(I82,[1]Scheme!D:F,3,0)</f>
        <v>A21.01</v>
      </c>
      <c r="I82" s="147" t="s">
        <v>766</v>
      </c>
      <c r="J82" s="146" t="str">
        <f>VLOOKUP(K82,[1]Scheme!B:C,2,0)</f>
        <v>A21</v>
      </c>
      <c r="K82" s="147" t="s">
        <v>766</v>
      </c>
      <c r="L82" s="148"/>
    </row>
    <row r="83" spans="1:12" s="149" customFormat="1" ht="12">
      <c r="A83" s="143" t="s">
        <v>650</v>
      </c>
      <c r="B83" s="144">
        <v>22</v>
      </c>
      <c r="C83" s="143"/>
      <c r="D83" s="143"/>
      <c r="E83" s="145"/>
      <c r="F83" s="146" t="str">
        <f t="shared" si="1"/>
        <v>A.22</v>
      </c>
      <c r="G83" s="147" t="s">
        <v>768</v>
      </c>
      <c r="H83" s="146" t="str">
        <f>VLOOKUP(I83,[1]Scheme!D:F,3,0)</f>
        <v>A11.05</v>
      </c>
      <c r="I83" s="147" t="s">
        <v>756</v>
      </c>
      <c r="J83" s="146" t="str">
        <f>VLOOKUP(K83,[1]Scheme!B:C,2,0)</f>
        <v>A11</v>
      </c>
      <c r="K83" s="147" t="s">
        <v>751</v>
      </c>
      <c r="L83" s="148"/>
    </row>
    <row r="84" spans="1:12" s="149" customFormat="1" ht="12">
      <c r="A84" s="143" t="s">
        <v>650</v>
      </c>
      <c r="B84" s="144">
        <v>23</v>
      </c>
      <c r="C84" s="143"/>
      <c r="D84" s="143"/>
      <c r="E84" s="145"/>
      <c r="F84" s="146" t="str">
        <f t="shared" si="1"/>
        <v>A.23</v>
      </c>
      <c r="G84" s="147" t="s">
        <v>769</v>
      </c>
      <c r="H84" s="146" t="str">
        <f>VLOOKUP(I84,[1]Scheme!D:F,3,0)</f>
        <v>A11.06</v>
      </c>
      <c r="I84" s="147" t="s">
        <v>769</v>
      </c>
      <c r="J84" s="146" t="str">
        <f>VLOOKUP(K84,[1]Scheme!B:C,2,0)</f>
        <v>A11</v>
      </c>
      <c r="K84" s="147" t="s">
        <v>751</v>
      </c>
      <c r="L84" s="148"/>
    </row>
    <row r="85" spans="1:12" s="149" customFormat="1" ht="12">
      <c r="A85" s="143" t="s">
        <v>650</v>
      </c>
      <c r="B85" s="144">
        <v>23</v>
      </c>
      <c r="C85" s="143" t="s">
        <v>653</v>
      </c>
      <c r="D85" s="143"/>
      <c r="E85" s="145"/>
      <c r="F85" s="146" t="str">
        <f t="shared" si="1"/>
        <v>A.231</v>
      </c>
      <c r="G85" s="147" t="s">
        <v>770</v>
      </c>
      <c r="H85" s="146" t="str">
        <f>VLOOKUP(I85,[1]Scheme!D:F,3,0)</f>
        <v>A11.06</v>
      </c>
      <c r="I85" s="147" t="s">
        <v>769</v>
      </c>
      <c r="J85" s="146" t="str">
        <f>VLOOKUP(K85,[1]Scheme!B:C,2,0)</f>
        <v>A11</v>
      </c>
      <c r="K85" s="147" t="s">
        <v>751</v>
      </c>
      <c r="L85" s="148"/>
    </row>
    <row r="86" spans="1:12" s="149" customFormat="1" ht="12">
      <c r="A86" s="143" t="s">
        <v>650</v>
      </c>
      <c r="B86" s="144">
        <v>23</v>
      </c>
      <c r="C86" s="143" t="s">
        <v>658</v>
      </c>
      <c r="D86" s="143"/>
      <c r="E86" s="145"/>
      <c r="F86" s="146" t="str">
        <f t="shared" si="1"/>
        <v>A.232</v>
      </c>
      <c r="G86" s="147" t="s">
        <v>771</v>
      </c>
      <c r="H86" s="146" t="str">
        <f>VLOOKUP(I86,[1]Scheme!D:F,3,0)</f>
        <v>A11.06</v>
      </c>
      <c r="I86" s="147" t="s">
        <v>769</v>
      </c>
      <c r="J86" s="146" t="str">
        <f>VLOOKUP(K86,[1]Scheme!B:C,2,0)</f>
        <v>A11</v>
      </c>
      <c r="K86" s="147" t="s">
        <v>751</v>
      </c>
      <c r="L86" s="148"/>
    </row>
    <row r="87" spans="1:12" s="149" customFormat="1" ht="12">
      <c r="A87" s="143" t="s">
        <v>650</v>
      </c>
      <c r="B87" s="144">
        <v>23</v>
      </c>
      <c r="C87" s="143" t="s">
        <v>660</v>
      </c>
      <c r="D87" s="143"/>
      <c r="E87" s="145"/>
      <c r="F87" s="146" t="str">
        <f t="shared" si="1"/>
        <v>A.233</v>
      </c>
      <c r="G87" s="147" t="s">
        <v>772</v>
      </c>
      <c r="H87" s="146" t="str">
        <f>VLOOKUP(I87,[1]Scheme!D:F,3,0)</f>
        <v>A11.06</v>
      </c>
      <c r="I87" s="147" t="s">
        <v>769</v>
      </c>
      <c r="J87" s="146" t="str">
        <f>VLOOKUP(K87,[1]Scheme!B:C,2,0)</f>
        <v>A11</v>
      </c>
      <c r="K87" s="147" t="s">
        <v>751</v>
      </c>
      <c r="L87" s="148"/>
    </row>
    <row r="88" spans="1:12" s="149" customFormat="1" ht="12">
      <c r="A88" s="143" t="s">
        <v>650</v>
      </c>
      <c r="B88" s="144">
        <v>24</v>
      </c>
      <c r="C88" s="143"/>
      <c r="D88" s="143"/>
      <c r="E88" s="145"/>
      <c r="F88" s="146" t="str">
        <f t="shared" si="1"/>
        <v>A.24</v>
      </c>
      <c r="G88" s="147" t="s">
        <v>773</v>
      </c>
      <c r="H88" s="146" t="str">
        <f>VLOOKUP(I88,[1]Scheme!D:F,3,0)</f>
        <v>A11.06</v>
      </c>
      <c r="I88" s="147" t="s">
        <v>769</v>
      </c>
      <c r="J88" s="146" t="str">
        <f>VLOOKUP(K88,[1]Scheme!B:C,2,0)</f>
        <v>A11</v>
      </c>
      <c r="K88" s="147" t="s">
        <v>751</v>
      </c>
      <c r="L88" s="148"/>
    </row>
    <row r="89" spans="1:12" s="149" customFormat="1" ht="12">
      <c r="A89" s="143" t="s">
        <v>650</v>
      </c>
      <c r="B89" s="144">
        <v>25</v>
      </c>
      <c r="C89" s="143"/>
      <c r="D89" s="143"/>
      <c r="E89" s="145"/>
      <c r="F89" s="146" t="str">
        <f t="shared" si="1"/>
        <v>A.25</v>
      </c>
      <c r="G89" s="147" t="s">
        <v>774</v>
      </c>
      <c r="H89" s="146" t="str">
        <f>VLOOKUP(I89,[1]Scheme!D:F,3,0)</f>
        <v>A11.06</v>
      </c>
      <c r="I89" s="147" t="s">
        <v>769</v>
      </c>
      <c r="J89" s="146" t="str">
        <f>VLOOKUP(K89,[1]Scheme!B:C,2,0)</f>
        <v>A11</v>
      </c>
      <c r="K89" s="147" t="s">
        <v>751</v>
      </c>
      <c r="L89" s="148"/>
    </row>
    <row r="90" spans="1:12" s="149" customFormat="1" ht="12">
      <c r="A90" s="143" t="s">
        <v>650</v>
      </c>
      <c r="B90" s="144">
        <v>26</v>
      </c>
      <c r="C90" s="143"/>
      <c r="D90" s="143"/>
      <c r="E90" s="145"/>
      <c r="F90" s="146" t="str">
        <f t="shared" si="1"/>
        <v>A.26</v>
      </c>
      <c r="G90" s="147" t="s">
        <v>775</v>
      </c>
      <c r="H90" s="146" t="str">
        <f>VLOOKUP(I90,[1]Scheme!D:F,3,0)</f>
        <v>A11.02</v>
      </c>
      <c r="I90" s="147" t="s">
        <v>775</v>
      </c>
      <c r="J90" s="146" t="str">
        <f>VLOOKUP(K90,[1]Scheme!B:C,2,0)</f>
        <v>A11</v>
      </c>
      <c r="K90" s="147" t="s">
        <v>751</v>
      </c>
      <c r="L90" s="148"/>
    </row>
    <row r="91" spans="1:12" s="149" customFormat="1" ht="12">
      <c r="A91" s="143" t="s">
        <v>650</v>
      </c>
      <c r="B91" s="144">
        <v>26</v>
      </c>
      <c r="C91" s="143" t="s">
        <v>653</v>
      </c>
      <c r="D91" s="143"/>
      <c r="E91" s="145"/>
      <c r="F91" s="146" t="str">
        <f t="shared" si="1"/>
        <v>A.261</v>
      </c>
      <c r="G91" s="147" t="s">
        <v>776</v>
      </c>
      <c r="H91" s="146" t="str">
        <f>VLOOKUP(I91,[1]Scheme!D:F,3,0)</f>
        <v>A11.02</v>
      </c>
      <c r="I91" s="147" t="s">
        <v>775</v>
      </c>
      <c r="J91" s="146" t="str">
        <f>VLOOKUP(K91,[1]Scheme!B:C,2,0)</f>
        <v>A11</v>
      </c>
      <c r="K91" s="147" t="s">
        <v>751</v>
      </c>
      <c r="L91" s="148"/>
    </row>
    <row r="92" spans="1:12" s="149" customFormat="1" ht="12">
      <c r="A92" s="143" t="s">
        <v>650</v>
      </c>
      <c r="B92" s="144">
        <v>26</v>
      </c>
      <c r="C92" s="143" t="s">
        <v>658</v>
      </c>
      <c r="D92" s="143"/>
      <c r="E92" s="145"/>
      <c r="F92" s="146" t="str">
        <f t="shared" si="1"/>
        <v>A.262</v>
      </c>
      <c r="G92" s="147" t="s">
        <v>777</v>
      </c>
      <c r="H92" s="146" t="str">
        <f>VLOOKUP(I92,[1]Scheme!D:F,3,0)</f>
        <v>A11.02</v>
      </c>
      <c r="I92" s="147" t="s">
        <v>775</v>
      </c>
      <c r="J92" s="146" t="str">
        <f>VLOOKUP(K92,[1]Scheme!B:C,2,0)</f>
        <v>A11</v>
      </c>
      <c r="K92" s="147" t="s">
        <v>751</v>
      </c>
      <c r="L92" s="148"/>
    </row>
    <row r="93" spans="1:12" s="149" customFormat="1" ht="12">
      <c r="A93" s="143" t="s">
        <v>650</v>
      </c>
      <c r="B93" s="144">
        <v>27</v>
      </c>
      <c r="C93" s="143"/>
      <c r="D93" s="143"/>
      <c r="E93" s="145"/>
      <c r="F93" s="146" t="str">
        <f t="shared" si="1"/>
        <v>A.27</v>
      </c>
      <c r="G93" s="147" t="s">
        <v>778</v>
      </c>
      <c r="H93" s="146" t="str">
        <f>VLOOKUP(I93,[1]Scheme!D:F,3,0)</f>
        <v>A19.01</v>
      </c>
      <c r="I93" s="147" t="s">
        <v>778</v>
      </c>
      <c r="J93" s="146" t="str">
        <f>VLOOKUP(K93,[1]Scheme!B:C,2,0)</f>
        <v>A19</v>
      </c>
      <c r="K93" s="147" t="s">
        <v>778</v>
      </c>
      <c r="L93" s="148"/>
    </row>
    <row r="94" spans="1:12" s="149" customFormat="1" ht="12">
      <c r="A94" s="143" t="s">
        <v>650</v>
      </c>
      <c r="B94" s="144">
        <v>28</v>
      </c>
      <c r="C94" s="143"/>
      <c r="D94" s="143"/>
      <c r="E94" s="145"/>
      <c r="F94" s="146" t="str">
        <f t="shared" si="1"/>
        <v>A.28</v>
      </c>
      <c r="G94" s="147" t="s">
        <v>779</v>
      </c>
      <c r="H94" s="146" t="str">
        <f>VLOOKUP(I94,[1]Scheme!D:F,3,0)</f>
        <v>A11.03</v>
      </c>
      <c r="I94" s="147" t="s">
        <v>779</v>
      </c>
      <c r="J94" s="146" t="str">
        <f>VLOOKUP(K94,[1]Scheme!B:C,2,0)</f>
        <v>A11</v>
      </c>
      <c r="K94" s="147" t="s">
        <v>751</v>
      </c>
      <c r="L94" s="148"/>
    </row>
    <row r="95" spans="1:12" s="149" customFormat="1" ht="12">
      <c r="A95" s="143" t="s">
        <v>650</v>
      </c>
      <c r="B95" s="144">
        <v>28</v>
      </c>
      <c r="C95" s="143" t="s">
        <v>653</v>
      </c>
      <c r="D95" s="143"/>
      <c r="E95" s="145"/>
      <c r="F95" s="146" t="str">
        <f t="shared" si="1"/>
        <v>A.281</v>
      </c>
      <c r="G95" s="147" t="s">
        <v>780</v>
      </c>
      <c r="H95" s="146" t="str">
        <f>VLOOKUP(I95,[1]Scheme!D:F,3,0)</f>
        <v>A11.03</v>
      </c>
      <c r="I95" s="147" t="s">
        <v>779</v>
      </c>
      <c r="J95" s="146" t="str">
        <f>VLOOKUP(K95,[1]Scheme!B:C,2,0)</f>
        <v>A11</v>
      </c>
      <c r="K95" s="147" t="s">
        <v>751</v>
      </c>
      <c r="L95" s="148"/>
    </row>
    <row r="96" spans="1:12" s="149" customFormat="1" ht="12">
      <c r="A96" s="143" t="s">
        <v>650</v>
      </c>
      <c r="B96" s="144">
        <v>28</v>
      </c>
      <c r="C96" s="143" t="s">
        <v>658</v>
      </c>
      <c r="D96" s="143"/>
      <c r="E96" s="145"/>
      <c r="F96" s="146" t="str">
        <f t="shared" si="1"/>
        <v>A.282</v>
      </c>
      <c r="G96" s="147" t="s">
        <v>781</v>
      </c>
      <c r="H96" s="146" t="str">
        <f>VLOOKUP(I96,[1]Scheme!D:F,3,0)</f>
        <v>A11.03</v>
      </c>
      <c r="I96" s="147" t="s">
        <v>779</v>
      </c>
      <c r="J96" s="146" t="str">
        <f>VLOOKUP(K96,[1]Scheme!B:C,2,0)</f>
        <v>A11</v>
      </c>
      <c r="K96" s="147" t="s">
        <v>751</v>
      </c>
      <c r="L96" s="148"/>
    </row>
    <row r="97" spans="1:12" s="149" customFormat="1" ht="12">
      <c r="A97" s="143" t="s">
        <v>650</v>
      </c>
      <c r="B97" s="144">
        <v>28</v>
      </c>
      <c r="C97" s="143" t="s">
        <v>660</v>
      </c>
      <c r="D97" s="143"/>
      <c r="E97" s="145"/>
      <c r="F97" s="146" t="str">
        <f t="shared" si="1"/>
        <v>A.283</v>
      </c>
      <c r="G97" s="147" t="s">
        <v>782</v>
      </c>
      <c r="H97" s="146" t="str">
        <f>VLOOKUP(I97,[1]Scheme!D:F,3,0)</f>
        <v>A11.03</v>
      </c>
      <c r="I97" s="147" t="s">
        <v>779</v>
      </c>
      <c r="J97" s="146" t="str">
        <f>VLOOKUP(K97,[1]Scheme!B:C,2,0)</f>
        <v>A11</v>
      </c>
      <c r="K97" s="147" t="s">
        <v>751</v>
      </c>
      <c r="L97" s="148"/>
    </row>
    <row r="98" spans="1:12" s="149" customFormat="1" ht="12">
      <c r="A98" s="143" t="s">
        <v>650</v>
      </c>
      <c r="B98" s="144">
        <v>28</v>
      </c>
      <c r="C98" s="143" t="s">
        <v>662</v>
      </c>
      <c r="D98" s="143"/>
      <c r="E98" s="145"/>
      <c r="F98" s="146" t="str">
        <f t="shared" si="1"/>
        <v>A.284</v>
      </c>
      <c r="G98" s="147" t="s">
        <v>783</v>
      </c>
      <c r="H98" s="146" t="str">
        <f>VLOOKUP(I98,[1]Scheme!D:F,3,0)</f>
        <v>A11.03</v>
      </c>
      <c r="I98" s="147" t="s">
        <v>779</v>
      </c>
      <c r="J98" s="146" t="str">
        <f>VLOOKUP(K98,[1]Scheme!B:C,2,0)</f>
        <v>A11</v>
      </c>
      <c r="K98" s="147" t="s">
        <v>751</v>
      </c>
      <c r="L98" s="148"/>
    </row>
    <row r="99" spans="1:12" s="149" customFormat="1" ht="12">
      <c r="A99" s="143" t="s">
        <v>650</v>
      </c>
      <c r="B99" s="144">
        <v>28</v>
      </c>
      <c r="C99" s="143" t="s">
        <v>668</v>
      </c>
      <c r="D99" s="143"/>
      <c r="E99" s="145"/>
      <c r="F99" s="146" t="str">
        <f t="shared" si="1"/>
        <v>A.285</v>
      </c>
      <c r="G99" s="147" t="s">
        <v>784</v>
      </c>
      <c r="H99" s="146" t="str">
        <f>VLOOKUP(I99,[1]Scheme!D:F,3,0)</f>
        <v>A11.03</v>
      </c>
      <c r="I99" s="147" t="s">
        <v>779</v>
      </c>
      <c r="J99" s="146" t="str">
        <f>VLOOKUP(K99,[1]Scheme!B:C,2,0)</f>
        <v>A11</v>
      </c>
      <c r="K99" s="147" t="s">
        <v>751</v>
      </c>
      <c r="L99" s="148"/>
    </row>
    <row r="100" spans="1:12" s="149" customFormat="1" ht="12">
      <c r="A100" s="143" t="s">
        <v>650</v>
      </c>
      <c r="B100" s="144">
        <v>28</v>
      </c>
      <c r="C100" s="143" t="s">
        <v>670</v>
      </c>
      <c r="D100" s="143"/>
      <c r="E100" s="145"/>
      <c r="F100" s="146" t="str">
        <f t="shared" si="1"/>
        <v>A.286</v>
      </c>
      <c r="G100" s="147" t="s">
        <v>785</v>
      </c>
      <c r="H100" s="146" t="str">
        <f>VLOOKUP(I100,[1]Scheme!D:F,3,0)</f>
        <v>A11.03</v>
      </c>
      <c r="I100" s="147" t="s">
        <v>779</v>
      </c>
      <c r="J100" s="146" t="str">
        <f>VLOOKUP(K100,[1]Scheme!B:C,2,0)</f>
        <v>A11</v>
      </c>
      <c r="K100" s="147" t="s">
        <v>751</v>
      </c>
      <c r="L100" s="148"/>
    </row>
    <row r="101" spans="1:12" s="149" customFormat="1" ht="12">
      <c r="A101" s="143" t="s">
        <v>650</v>
      </c>
      <c r="B101" s="144">
        <v>28</v>
      </c>
      <c r="C101" s="143" t="s">
        <v>681</v>
      </c>
      <c r="D101" s="143"/>
      <c r="E101" s="145"/>
      <c r="F101" s="146" t="str">
        <f t="shared" si="1"/>
        <v>A.287</v>
      </c>
      <c r="G101" s="147" t="s">
        <v>786</v>
      </c>
      <c r="H101" s="146" t="str">
        <f>VLOOKUP(I101,[1]Scheme!D:F,3,0)</f>
        <v>A11.03</v>
      </c>
      <c r="I101" s="147" t="s">
        <v>779</v>
      </c>
      <c r="J101" s="146" t="str">
        <f>VLOOKUP(K101,[1]Scheme!B:C,2,0)</f>
        <v>A11</v>
      </c>
      <c r="K101" s="147" t="s">
        <v>751</v>
      </c>
      <c r="L101" s="148"/>
    </row>
    <row r="102" spans="1:12" s="149" customFormat="1" ht="12">
      <c r="A102" s="143" t="s">
        <v>650</v>
      </c>
      <c r="B102" s="144">
        <v>28</v>
      </c>
      <c r="C102" s="143" t="s">
        <v>763</v>
      </c>
      <c r="D102" s="143"/>
      <c r="E102" s="145"/>
      <c r="F102" s="146" t="str">
        <f t="shared" si="1"/>
        <v>A.288</v>
      </c>
      <c r="G102" s="147" t="s">
        <v>787</v>
      </c>
      <c r="H102" s="146" t="str">
        <f>VLOOKUP(I102,[1]Scheme!D:F,3,0)</f>
        <v>A11.03</v>
      </c>
      <c r="I102" s="147" t="s">
        <v>779</v>
      </c>
      <c r="J102" s="146" t="str">
        <f>VLOOKUP(K102,[1]Scheme!B:C,2,0)</f>
        <v>A11</v>
      </c>
      <c r="K102" s="147" t="s">
        <v>751</v>
      </c>
      <c r="L102" s="148"/>
    </row>
    <row r="103" spans="1:12" s="149" customFormat="1" ht="12">
      <c r="A103" s="143" t="s">
        <v>650</v>
      </c>
      <c r="B103" s="144">
        <v>30</v>
      </c>
      <c r="C103" s="143"/>
      <c r="D103" s="143"/>
      <c r="E103" s="145"/>
      <c r="F103" s="146" t="str">
        <f t="shared" si="1"/>
        <v>A.30</v>
      </c>
      <c r="G103" s="147" t="s">
        <v>788</v>
      </c>
      <c r="H103" s="146" t="str">
        <f>VLOOKUP(I103,[1]Scheme!D:F,3,0)</f>
        <v>A18.01</v>
      </c>
      <c r="I103" s="147" t="s">
        <v>789</v>
      </c>
      <c r="J103" s="146" t="str">
        <f>VLOOKUP(K103,[1]Scheme!B:C,2,0)</f>
        <v>A18</v>
      </c>
      <c r="K103" s="147" t="s">
        <v>790</v>
      </c>
      <c r="L103" s="148"/>
    </row>
    <row r="104" spans="1:12" s="149" customFormat="1" ht="12">
      <c r="A104" s="143" t="s">
        <v>650</v>
      </c>
      <c r="B104" s="144">
        <v>30</v>
      </c>
      <c r="C104" s="143" t="s">
        <v>653</v>
      </c>
      <c r="D104" s="143"/>
      <c r="E104" s="145"/>
      <c r="F104" s="146" t="str">
        <f t="shared" si="1"/>
        <v>A.301</v>
      </c>
      <c r="G104" s="147" t="s">
        <v>791</v>
      </c>
      <c r="H104" s="146" t="str">
        <f>VLOOKUP(I104,[1]Scheme!D:F,3,0)</f>
        <v>A18.01</v>
      </c>
      <c r="I104" s="147" t="s">
        <v>789</v>
      </c>
      <c r="J104" s="146" t="str">
        <f>VLOOKUP(K104,[1]Scheme!B:C,2,0)</f>
        <v>A18</v>
      </c>
      <c r="K104" s="147" t="s">
        <v>790</v>
      </c>
      <c r="L104" s="148"/>
    </row>
    <row r="105" spans="1:12" s="149" customFormat="1" ht="12">
      <c r="A105" s="143" t="s">
        <v>650</v>
      </c>
      <c r="B105" s="144">
        <v>30</v>
      </c>
      <c r="C105" s="143" t="s">
        <v>658</v>
      </c>
      <c r="D105" s="143"/>
      <c r="E105" s="145"/>
      <c r="F105" s="146" t="str">
        <f t="shared" si="1"/>
        <v>A.302</v>
      </c>
      <c r="G105" s="147" t="s">
        <v>792</v>
      </c>
      <c r="H105" s="146" t="str">
        <f>VLOOKUP(I105,[1]Scheme!D:F,3,0)</f>
        <v>A18.01</v>
      </c>
      <c r="I105" s="147" t="s">
        <v>789</v>
      </c>
      <c r="J105" s="146" t="str">
        <f>VLOOKUP(K105,[1]Scheme!B:C,2,0)</f>
        <v>A18</v>
      </c>
      <c r="K105" s="147" t="s">
        <v>790</v>
      </c>
      <c r="L105" s="148"/>
    </row>
    <row r="106" spans="1:12" s="149" customFormat="1" ht="12">
      <c r="A106" s="143" t="s">
        <v>650</v>
      </c>
      <c r="B106" s="144">
        <v>30</v>
      </c>
      <c r="C106" s="143" t="s">
        <v>658</v>
      </c>
      <c r="D106" s="143" t="s">
        <v>692</v>
      </c>
      <c r="E106" s="145"/>
      <c r="F106" s="146" t="str">
        <f t="shared" si="1"/>
        <v>A.302.01</v>
      </c>
      <c r="G106" s="147" t="s">
        <v>793</v>
      </c>
      <c r="H106" s="146" t="str">
        <f>VLOOKUP(I106,[1]Scheme!D:F,3,0)</f>
        <v>A18.01</v>
      </c>
      <c r="I106" s="147" t="s">
        <v>789</v>
      </c>
      <c r="J106" s="146" t="str">
        <f>VLOOKUP(K106,[1]Scheme!B:C,2,0)</f>
        <v>A18</v>
      </c>
      <c r="K106" s="147" t="s">
        <v>790</v>
      </c>
      <c r="L106" s="148"/>
    </row>
    <row r="107" spans="1:12" s="149" customFormat="1" ht="12">
      <c r="A107" s="143" t="s">
        <v>650</v>
      </c>
      <c r="B107" s="144">
        <v>30</v>
      </c>
      <c r="C107" s="143" t="s">
        <v>658</v>
      </c>
      <c r="D107" s="143" t="s">
        <v>698</v>
      </c>
      <c r="E107" s="145"/>
      <c r="F107" s="146" t="str">
        <f t="shared" si="1"/>
        <v>A.302.02</v>
      </c>
      <c r="G107" s="147" t="s">
        <v>794</v>
      </c>
      <c r="H107" s="146" t="str">
        <f>VLOOKUP(I107,[1]Scheme!D:F,3,0)</f>
        <v>A18.01</v>
      </c>
      <c r="I107" s="147" t="s">
        <v>789</v>
      </c>
      <c r="J107" s="146" t="str">
        <f>VLOOKUP(K107,[1]Scheme!B:C,2,0)</f>
        <v>A18</v>
      </c>
      <c r="K107" s="147" t="s">
        <v>790</v>
      </c>
      <c r="L107" s="148"/>
    </row>
    <row r="108" spans="1:12" s="149" customFormat="1" ht="12">
      <c r="A108" s="143" t="s">
        <v>650</v>
      </c>
      <c r="B108" s="144">
        <v>30</v>
      </c>
      <c r="C108" s="143" t="s">
        <v>658</v>
      </c>
      <c r="D108" s="143" t="s">
        <v>700</v>
      </c>
      <c r="E108" s="145"/>
      <c r="F108" s="146" t="str">
        <f t="shared" si="1"/>
        <v>A.302.03</v>
      </c>
      <c r="G108" s="147" t="s">
        <v>795</v>
      </c>
      <c r="H108" s="146" t="str">
        <f>VLOOKUP(I108,[1]Scheme!D:F,3,0)</f>
        <v>A18.01</v>
      </c>
      <c r="I108" s="147" t="s">
        <v>789</v>
      </c>
      <c r="J108" s="146" t="str">
        <f>VLOOKUP(K108,[1]Scheme!B:C,2,0)</f>
        <v>A18</v>
      </c>
      <c r="K108" s="147" t="s">
        <v>790</v>
      </c>
      <c r="L108" s="148"/>
    </row>
    <row r="109" spans="1:12" s="149" customFormat="1" ht="12">
      <c r="A109" s="143" t="s">
        <v>650</v>
      </c>
      <c r="B109" s="144">
        <v>31</v>
      </c>
      <c r="C109" s="143"/>
      <c r="D109" s="143"/>
      <c r="E109" s="145"/>
      <c r="F109" s="146" t="str">
        <f t="shared" si="1"/>
        <v>A.31</v>
      </c>
      <c r="G109" s="147" t="s">
        <v>796</v>
      </c>
      <c r="H109" s="146" t="str">
        <f>VLOOKUP(I109,[1]Scheme!D:F,3,0)</f>
        <v>A18.01</v>
      </c>
      <c r="I109" s="147" t="s">
        <v>789</v>
      </c>
      <c r="J109" s="146" t="str">
        <f>VLOOKUP(K109,[1]Scheme!B:C,2,0)</f>
        <v>A18</v>
      </c>
      <c r="K109" s="147" t="s">
        <v>790</v>
      </c>
      <c r="L109" s="148"/>
    </row>
    <row r="110" spans="1:12" s="149" customFormat="1" ht="12">
      <c r="A110" s="143" t="s">
        <v>650</v>
      </c>
      <c r="B110" s="144">
        <v>31</v>
      </c>
      <c r="C110" s="143" t="s">
        <v>653</v>
      </c>
      <c r="D110" s="143"/>
      <c r="E110" s="145"/>
      <c r="F110" s="146" t="str">
        <f t="shared" si="1"/>
        <v>A.311</v>
      </c>
      <c r="G110" s="147" t="s">
        <v>797</v>
      </c>
      <c r="H110" s="146" t="str">
        <f>VLOOKUP(I110,[1]Scheme!D:F,3,0)</f>
        <v>A18.01</v>
      </c>
      <c r="I110" s="147" t="s">
        <v>789</v>
      </c>
      <c r="J110" s="146" t="str">
        <f>VLOOKUP(K110,[1]Scheme!B:C,2,0)</f>
        <v>A18</v>
      </c>
      <c r="K110" s="147" t="s">
        <v>790</v>
      </c>
      <c r="L110" s="148"/>
    </row>
    <row r="111" spans="1:12" s="149" customFormat="1" ht="12">
      <c r="A111" s="143" t="s">
        <v>650</v>
      </c>
      <c r="B111" s="144">
        <v>31</v>
      </c>
      <c r="C111" s="143" t="s">
        <v>658</v>
      </c>
      <c r="D111" s="143"/>
      <c r="E111" s="145"/>
      <c r="F111" s="146" t="str">
        <f t="shared" si="1"/>
        <v>A.312</v>
      </c>
      <c r="G111" s="147" t="s">
        <v>798</v>
      </c>
      <c r="H111" s="146" t="str">
        <f>VLOOKUP(I111,[1]Scheme!D:F,3,0)</f>
        <v>A18.01</v>
      </c>
      <c r="I111" s="147" t="s">
        <v>789</v>
      </c>
      <c r="J111" s="146" t="str">
        <f>VLOOKUP(K111,[1]Scheme!B:C,2,0)</f>
        <v>A18</v>
      </c>
      <c r="K111" s="147" t="s">
        <v>790</v>
      </c>
      <c r="L111" s="148"/>
    </row>
    <row r="112" spans="1:12" s="149" customFormat="1" ht="12">
      <c r="A112" s="143" t="s">
        <v>650</v>
      </c>
      <c r="B112" s="144">
        <v>31</v>
      </c>
      <c r="C112" s="143" t="s">
        <v>658</v>
      </c>
      <c r="D112" s="143" t="s">
        <v>692</v>
      </c>
      <c r="E112" s="145"/>
      <c r="F112" s="146" t="str">
        <f t="shared" si="1"/>
        <v>A.312.01</v>
      </c>
      <c r="G112" s="147" t="s">
        <v>799</v>
      </c>
      <c r="H112" s="146" t="str">
        <f>VLOOKUP(I112,[1]Scheme!D:F,3,0)</f>
        <v>A18.01</v>
      </c>
      <c r="I112" s="147" t="s">
        <v>789</v>
      </c>
      <c r="J112" s="146" t="str">
        <f>VLOOKUP(K112,[1]Scheme!B:C,2,0)</f>
        <v>A18</v>
      </c>
      <c r="K112" s="147" t="s">
        <v>790</v>
      </c>
      <c r="L112" s="148"/>
    </row>
    <row r="113" spans="1:12" s="149" customFormat="1" ht="12">
      <c r="A113" s="143" t="s">
        <v>650</v>
      </c>
      <c r="B113" s="144">
        <v>31</v>
      </c>
      <c r="C113" s="143" t="s">
        <v>658</v>
      </c>
      <c r="D113" s="143" t="s">
        <v>698</v>
      </c>
      <c r="E113" s="145"/>
      <c r="F113" s="146" t="str">
        <f t="shared" si="1"/>
        <v>A.312.02</v>
      </c>
      <c r="G113" s="147" t="s">
        <v>800</v>
      </c>
      <c r="H113" s="146" t="str">
        <f>VLOOKUP(I113,[1]Scheme!D:F,3,0)</f>
        <v>A18.01</v>
      </c>
      <c r="I113" s="147" t="s">
        <v>789</v>
      </c>
      <c r="J113" s="146" t="str">
        <f>VLOOKUP(K113,[1]Scheme!B:C,2,0)</f>
        <v>A18</v>
      </c>
      <c r="K113" s="147" t="s">
        <v>790</v>
      </c>
      <c r="L113" s="148"/>
    </row>
    <row r="114" spans="1:12" s="149" customFormat="1" ht="12">
      <c r="A114" s="143" t="s">
        <v>650</v>
      </c>
      <c r="B114" s="144">
        <v>31</v>
      </c>
      <c r="C114" s="143" t="s">
        <v>658</v>
      </c>
      <c r="D114" s="143" t="s">
        <v>700</v>
      </c>
      <c r="E114" s="145"/>
      <c r="F114" s="146" t="str">
        <f t="shared" si="1"/>
        <v>A.312.03</v>
      </c>
      <c r="G114" s="147" t="s">
        <v>801</v>
      </c>
      <c r="H114" s="146" t="str">
        <f>VLOOKUP(I114,[1]Scheme!D:F,3,0)</f>
        <v>A18.01</v>
      </c>
      <c r="I114" s="147" t="s">
        <v>789</v>
      </c>
      <c r="J114" s="146" t="str">
        <f>VLOOKUP(K114,[1]Scheme!B:C,2,0)</f>
        <v>A18</v>
      </c>
      <c r="K114" s="147" t="s">
        <v>790</v>
      </c>
      <c r="L114" s="148"/>
    </row>
    <row r="115" spans="1:12" s="149" customFormat="1" ht="12">
      <c r="A115" s="143" t="s">
        <v>650</v>
      </c>
      <c r="B115" s="144">
        <v>31</v>
      </c>
      <c r="C115" s="143" t="s">
        <v>660</v>
      </c>
      <c r="D115" s="143"/>
      <c r="E115" s="145"/>
      <c r="F115" s="146" t="str">
        <f t="shared" si="1"/>
        <v>A.313</v>
      </c>
      <c r="G115" s="147" t="s">
        <v>802</v>
      </c>
      <c r="H115" s="146" t="str">
        <f>VLOOKUP(I115,[1]Scheme!D:F,3,0)</f>
        <v>A18.02</v>
      </c>
      <c r="I115" s="147" t="s">
        <v>803</v>
      </c>
      <c r="J115" s="146" t="str">
        <f>VLOOKUP(K115,[1]Scheme!B:C,2,0)</f>
        <v>A18</v>
      </c>
      <c r="K115" s="147" t="s">
        <v>790</v>
      </c>
      <c r="L115" s="148"/>
    </row>
    <row r="116" spans="1:12" s="149" customFormat="1" ht="12">
      <c r="A116" s="143" t="s">
        <v>650</v>
      </c>
      <c r="B116" s="144">
        <v>31</v>
      </c>
      <c r="C116" s="143" t="s">
        <v>660</v>
      </c>
      <c r="D116" s="143" t="s">
        <v>692</v>
      </c>
      <c r="E116" s="145"/>
      <c r="F116" s="146" t="str">
        <f t="shared" si="1"/>
        <v>A.313.01</v>
      </c>
      <c r="G116" s="147" t="s">
        <v>804</v>
      </c>
      <c r="H116" s="146" t="str">
        <f>VLOOKUP(I116,[1]Scheme!D:F,3,0)</f>
        <v>A18.02</v>
      </c>
      <c r="I116" s="147" t="s">
        <v>803</v>
      </c>
      <c r="J116" s="146" t="str">
        <f>VLOOKUP(K116,[1]Scheme!B:C,2,0)</f>
        <v>A18</v>
      </c>
      <c r="K116" s="147" t="s">
        <v>790</v>
      </c>
      <c r="L116" s="148"/>
    </row>
    <row r="117" spans="1:12" s="149" customFormat="1" ht="12">
      <c r="A117" s="143" t="s">
        <v>650</v>
      </c>
      <c r="B117" s="144">
        <v>31</v>
      </c>
      <c r="C117" s="143" t="s">
        <v>660</v>
      </c>
      <c r="D117" s="143" t="s">
        <v>698</v>
      </c>
      <c r="E117" s="145"/>
      <c r="F117" s="146" t="str">
        <f t="shared" si="1"/>
        <v>A.313.02</v>
      </c>
      <c r="G117" s="147" t="s">
        <v>805</v>
      </c>
      <c r="H117" s="146" t="str">
        <f>VLOOKUP(I117,[1]Scheme!D:F,3,0)</f>
        <v>A18.02</v>
      </c>
      <c r="I117" s="147" t="s">
        <v>803</v>
      </c>
      <c r="J117" s="146" t="str">
        <f>VLOOKUP(K117,[1]Scheme!B:C,2,0)</f>
        <v>A18</v>
      </c>
      <c r="K117" s="147" t="s">
        <v>790</v>
      </c>
      <c r="L117" s="148"/>
    </row>
    <row r="118" spans="1:12" s="149" customFormat="1" ht="12">
      <c r="A118" s="143" t="s">
        <v>650</v>
      </c>
      <c r="B118" s="144">
        <v>31</v>
      </c>
      <c r="C118" s="143" t="s">
        <v>660</v>
      </c>
      <c r="D118" s="143" t="s">
        <v>700</v>
      </c>
      <c r="E118" s="145"/>
      <c r="F118" s="146" t="str">
        <f t="shared" si="1"/>
        <v>A.313.03</v>
      </c>
      <c r="G118" s="147" t="s">
        <v>806</v>
      </c>
      <c r="H118" s="146" t="str">
        <f>VLOOKUP(I118,[1]Scheme!D:F,3,0)</f>
        <v>A18.02</v>
      </c>
      <c r="I118" s="147" t="s">
        <v>803</v>
      </c>
      <c r="J118" s="146" t="str">
        <f>VLOOKUP(K118,[1]Scheme!B:C,2,0)</f>
        <v>A18</v>
      </c>
      <c r="K118" s="147" t="s">
        <v>790</v>
      </c>
      <c r="L118" s="148"/>
    </row>
    <row r="119" spans="1:12" s="149" customFormat="1" ht="12">
      <c r="A119" s="143" t="s">
        <v>650</v>
      </c>
      <c r="B119" s="144">
        <v>31</v>
      </c>
      <c r="C119" s="143" t="s">
        <v>660</v>
      </c>
      <c r="D119" s="143" t="s">
        <v>706</v>
      </c>
      <c r="E119" s="145"/>
      <c r="F119" s="146" t="str">
        <f t="shared" si="1"/>
        <v>A.313.04</v>
      </c>
      <c r="G119" s="147" t="s">
        <v>807</v>
      </c>
      <c r="H119" s="146" t="str">
        <f>VLOOKUP(I119,[1]Scheme!D:F,3,0)</f>
        <v>A17.01</v>
      </c>
      <c r="I119" s="147" t="s">
        <v>808</v>
      </c>
      <c r="J119" s="146" t="str">
        <f>VLOOKUP(K119,[1]Scheme!B:C,2,0)</f>
        <v>A17</v>
      </c>
      <c r="K119" s="147" t="s">
        <v>808</v>
      </c>
      <c r="L119" s="148"/>
    </row>
    <row r="120" spans="1:12" s="149" customFormat="1" ht="12">
      <c r="A120" s="143" t="s">
        <v>650</v>
      </c>
      <c r="B120" s="144">
        <v>31</v>
      </c>
      <c r="C120" s="143" t="s">
        <v>660</v>
      </c>
      <c r="D120" s="143" t="s">
        <v>708</v>
      </c>
      <c r="E120" s="145"/>
      <c r="F120" s="146" t="str">
        <f t="shared" si="1"/>
        <v>A.313.05</v>
      </c>
      <c r="G120" s="147" t="s">
        <v>809</v>
      </c>
      <c r="H120" s="146" t="str">
        <f>VLOOKUP(I120,[1]Scheme!D:F,3,0)</f>
        <v>A17.01</v>
      </c>
      <c r="I120" s="147" t="s">
        <v>808</v>
      </c>
      <c r="J120" s="146" t="str">
        <f>VLOOKUP(K120,[1]Scheme!B:C,2,0)</f>
        <v>A17</v>
      </c>
      <c r="K120" s="147" t="s">
        <v>808</v>
      </c>
      <c r="L120" s="148"/>
    </row>
    <row r="121" spans="1:12" s="149" customFormat="1" ht="12">
      <c r="A121" s="143" t="s">
        <v>650</v>
      </c>
      <c r="B121" s="144">
        <v>31</v>
      </c>
      <c r="C121" s="143" t="s">
        <v>660</v>
      </c>
      <c r="D121" s="143" t="s">
        <v>710</v>
      </c>
      <c r="E121" s="145"/>
      <c r="F121" s="146" t="str">
        <f t="shared" si="1"/>
        <v>A.313.06</v>
      </c>
      <c r="G121" s="147" t="s">
        <v>810</v>
      </c>
      <c r="H121" s="146" t="str">
        <f>VLOOKUP(I121,[1]Scheme!D:F,3,0)</f>
        <v>A17.01</v>
      </c>
      <c r="I121" s="147" t="s">
        <v>808</v>
      </c>
      <c r="J121" s="146" t="str">
        <f>VLOOKUP(K121,[1]Scheme!B:C,2,0)</f>
        <v>A17</v>
      </c>
      <c r="K121" s="147" t="s">
        <v>808</v>
      </c>
      <c r="L121" s="148"/>
    </row>
    <row r="122" spans="1:12" s="149" customFormat="1" ht="12">
      <c r="A122" s="143" t="s">
        <v>650</v>
      </c>
      <c r="B122" s="144">
        <v>31</v>
      </c>
      <c r="C122" s="143" t="s">
        <v>660</v>
      </c>
      <c r="D122" s="143" t="s">
        <v>811</v>
      </c>
      <c r="E122" s="145"/>
      <c r="F122" s="146" t="str">
        <f t="shared" si="1"/>
        <v>A.313.07</v>
      </c>
      <c r="G122" s="147" t="s">
        <v>812</v>
      </c>
      <c r="H122" s="146" t="str">
        <f>VLOOKUP(I122,[1]Scheme!D:F,3,0)</f>
        <v>A07.01</v>
      </c>
      <c r="I122" s="147" t="s">
        <v>730</v>
      </c>
      <c r="J122" s="146" t="str">
        <f>VLOOKUP(K122,[1]Scheme!B:C,2,0)</f>
        <v>A07</v>
      </c>
      <c r="K122" s="147" t="s">
        <v>730</v>
      </c>
      <c r="L122" s="148"/>
    </row>
    <row r="123" spans="1:12" s="149" customFormat="1" ht="12">
      <c r="A123" s="143" t="s">
        <v>650</v>
      </c>
      <c r="B123" s="144">
        <v>31</v>
      </c>
      <c r="C123" s="143" t="s">
        <v>660</v>
      </c>
      <c r="D123" s="143" t="s">
        <v>813</v>
      </c>
      <c r="E123" s="145"/>
      <c r="F123" s="146" t="str">
        <f t="shared" si="1"/>
        <v>A.313.08</v>
      </c>
      <c r="G123" s="147" t="s">
        <v>814</v>
      </c>
      <c r="H123" s="146" t="str">
        <f>VLOOKUP(I123,[1]Scheme!D:F,3,0)</f>
        <v>A07.01</v>
      </c>
      <c r="I123" s="147" t="s">
        <v>730</v>
      </c>
      <c r="J123" s="146" t="str">
        <f>VLOOKUP(K123,[1]Scheme!B:C,2,0)</f>
        <v>A07</v>
      </c>
      <c r="K123" s="147" t="s">
        <v>730</v>
      </c>
      <c r="L123" s="148"/>
    </row>
    <row r="124" spans="1:12" s="149" customFormat="1" ht="12">
      <c r="A124" s="143" t="s">
        <v>650</v>
      </c>
      <c r="B124" s="144">
        <v>31</v>
      </c>
      <c r="C124" s="143" t="s">
        <v>660</v>
      </c>
      <c r="D124" s="143" t="s">
        <v>815</v>
      </c>
      <c r="E124" s="145"/>
      <c r="F124" s="146" t="str">
        <f t="shared" si="1"/>
        <v>A.313.09</v>
      </c>
      <c r="G124" s="147" t="s">
        <v>816</v>
      </c>
      <c r="H124" s="146" t="str">
        <f>VLOOKUP(I124,[1]Scheme!D:F,3,0)</f>
        <v>A07.01</v>
      </c>
      <c r="I124" s="147" t="s">
        <v>730</v>
      </c>
      <c r="J124" s="146" t="str">
        <f>VLOOKUP(K124,[1]Scheme!B:C,2,0)</f>
        <v>A07</v>
      </c>
      <c r="K124" s="147" t="s">
        <v>730</v>
      </c>
      <c r="L124" s="148"/>
    </row>
    <row r="125" spans="1:12" s="149" customFormat="1" ht="12">
      <c r="A125" s="143" t="s">
        <v>650</v>
      </c>
      <c r="B125" s="144">
        <v>33</v>
      </c>
      <c r="C125" s="143"/>
      <c r="D125" s="143"/>
      <c r="E125" s="145"/>
      <c r="F125" s="146" t="str">
        <f t="shared" si="1"/>
        <v>A.33</v>
      </c>
      <c r="G125" s="147" t="s">
        <v>817</v>
      </c>
      <c r="H125" s="146" t="str">
        <f>VLOOKUP(I125,[1]Scheme!D:F,3,0)</f>
        <v>A18.06</v>
      </c>
      <c r="I125" s="147" t="s">
        <v>817</v>
      </c>
      <c r="J125" s="146" t="str">
        <f>VLOOKUP(K125,[1]Scheme!B:C,2,0)</f>
        <v>A18</v>
      </c>
      <c r="K125" s="147" t="s">
        <v>790</v>
      </c>
      <c r="L125" s="148"/>
    </row>
    <row r="126" spans="1:12" s="149" customFormat="1" ht="12">
      <c r="A126" s="143" t="s">
        <v>650</v>
      </c>
      <c r="B126" s="144">
        <v>33</v>
      </c>
      <c r="C126" s="143" t="s">
        <v>653</v>
      </c>
      <c r="D126" s="143"/>
      <c r="E126" s="145"/>
      <c r="F126" s="146" t="str">
        <f t="shared" si="1"/>
        <v>A.331</v>
      </c>
      <c r="G126" s="147" t="s">
        <v>818</v>
      </c>
      <c r="H126" s="146" t="str">
        <f>VLOOKUP(I126,[1]Scheme!D:F,3,0)</f>
        <v>A18.06</v>
      </c>
      <c r="I126" s="147" t="s">
        <v>817</v>
      </c>
      <c r="J126" s="146" t="str">
        <f>VLOOKUP(K126,[1]Scheme!B:C,2,0)</f>
        <v>A18</v>
      </c>
      <c r="K126" s="147" t="s">
        <v>790</v>
      </c>
      <c r="L126" s="148"/>
    </row>
    <row r="127" spans="1:12" s="149" customFormat="1" ht="12">
      <c r="A127" s="143" t="s">
        <v>650</v>
      </c>
      <c r="B127" s="144">
        <v>33</v>
      </c>
      <c r="C127" s="143" t="s">
        <v>658</v>
      </c>
      <c r="D127" s="143"/>
      <c r="E127" s="145"/>
      <c r="F127" s="146" t="str">
        <f t="shared" si="1"/>
        <v>A.332</v>
      </c>
      <c r="G127" s="147" t="s">
        <v>819</v>
      </c>
      <c r="H127" s="146" t="str">
        <f>VLOOKUP(I127,[1]Scheme!D:F,3,0)</f>
        <v>A18.06</v>
      </c>
      <c r="I127" s="147" t="s">
        <v>817</v>
      </c>
      <c r="J127" s="146" t="str">
        <f>VLOOKUP(K127,[1]Scheme!B:C,2,0)</f>
        <v>A18</v>
      </c>
      <c r="K127" s="147" t="s">
        <v>790</v>
      </c>
      <c r="L127" s="148"/>
    </row>
    <row r="128" spans="1:12" s="149" customFormat="1" ht="12">
      <c r="A128" s="143" t="s">
        <v>650</v>
      </c>
      <c r="B128" s="144">
        <v>33</v>
      </c>
      <c r="C128" s="143" t="s">
        <v>660</v>
      </c>
      <c r="D128" s="143"/>
      <c r="E128" s="145"/>
      <c r="F128" s="146" t="str">
        <f t="shared" si="1"/>
        <v>A.333</v>
      </c>
      <c r="G128" s="147" t="s">
        <v>820</v>
      </c>
      <c r="H128" s="146" t="str">
        <f>VLOOKUP(I128,[1]Scheme!D:F,3,0)</f>
        <v>A18.04</v>
      </c>
      <c r="I128" s="147" t="s">
        <v>821</v>
      </c>
      <c r="J128" s="146" t="str">
        <f>VLOOKUP(K128,[1]Scheme!B:C,2,0)</f>
        <v>A18</v>
      </c>
      <c r="K128" s="147" t="s">
        <v>790</v>
      </c>
      <c r="L128" s="148"/>
    </row>
    <row r="129" spans="1:12" s="149" customFormat="1" ht="12">
      <c r="A129" s="143" t="s">
        <v>650</v>
      </c>
      <c r="B129" s="144">
        <v>33</v>
      </c>
      <c r="C129" s="143" t="s">
        <v>662</v>
      </c>
      <c r="D129" s="143"/>
      <c r="E129" s="145"/>
      <c r="F129" s="146" t="str">
        <f t="shared" si="1"/>
        <v>A.334</v>
      </c>
      <c r="G129" s="147" t="s">
        <v>822</v>
      </c>
      <c r="H129" s="146" t="str">
        <f>VLOOKUP(I129,[1]Scheme!D:F,3,0)</f>
        <v>A18.04</v>
      </c>
      <c r="I129" s="147" t="s">
        <v>821</v>
      </c>
      <c r="J129" s="146" t="str">
        <f>VLOOKUP(K129,[1]Scheme!B:C,2,0)</f>
        <v>A18</v>
      </c>
      <c r="K129" s="147" t="s">
        <v>790</v>
      </c>
      <c r="L129" s="148"/>
    </row>
    <row r="130" spans="1:12" s="149" customFormat="1" ht="12">
      <c r="A130" s="143" t="s">
        <v>650</v>
      </c>
      <c r="B130" s="144">
        <v>34</v>
      </c>
      <c r="C130" s="143"/>
      <c r="D130" s="143"/>
      <c r="E130" s="145"/>
      <c r="F130" s="146" t="str">
        <f t="shared" si="1"/>
        <v>A.34</v>
      </c>
      <c r="G130" s="147" t="s">
        <v>823</v>
      </c>
      <c r="H130" s="146" t="str">
        <f>VLOOKUP(I130,[1]Scheme!D:F,3,0)</f>
        <v>A12.03</v>
      </c>
      <c r="I130" s="147" t="s">
        <v>824</v>
      </c>
      <c r="J130" s="146" t="str">
        <f>VLOOKUP(K130,[1]Scheme!B:C,2,0)</f>
        <v>A12</v>
      </c>
      <c r="K130" s="147" t="s">
        <v>824</v>
      </c>
      <c r="L130" s="148"/>
    </row>
    <row r="131" spans="1:12" s="149" customFormat="1" ht="12">
      <c r="A131" s="143" t="s">
        <v>650</v>
      </c>
      <c r="B131" s="144">
        <v>34</v>
      </c>
      <c r="C131" s="143" t="s">
        <v>653</v>
      </c>
      <c r="D131" s="143"/>
      <c r="E131" s="145"/>
      <c r="F131" s="146" t="str">
        <f t="shared" si="1"/>
        <v>A.341</v>
      </c>
      <c r="G131" s="147" t="s">
        <v>825</v>
      </c>
      <c r="H131" s="146" t="str">
        <f>VLOOKUP(I131,[1]Scheme!D:F,3,0)</f>
        <v>A12.03</v>
      </c>
      <c r="I131" s="147" t="s">
        <v>824</v>
      </c>
      <c r="J131" s="146" t="str">
        <f>VLOOKUP(K131,[1]Scheme!B:C,2,0)</f>
        <v>A12</v>
      </c>
      <c r="K131" s="147" t="s">
        <v>824</v>
      </c>
      <c r="L131" s="148"/>
    </row>
    <row r="132" spans="1:12" s="149" customFormat="1" ht="12">
      <c r="A132" s="143" t="s">
        <v>650</v>
      </c>
      <c r="B132" s="144">
        <v>34</v>
      </c>
      <c r="C132" s="143" t="s">
        <v>658</v>
      </c>
      <c r="D132" s="143"/>
      <c r="E132" s="145"/>
      <c r="F132" s="146" t="str">
        <f t="shared" si="1"/>
        <v>A.342</v>
      </c>
      <c r="G132" s="147" t="s">
        <v>826</v>
      </c>
      <c r="H132" s="146" t="str">
        <f>VLOOKUP(I132,[1]Scheme!D:F,3,0)</f>
        <v>A12.03</v>
      </c>
      <c r="I132" s="147" t="s">
        <v>824</v>
      </c>
      <c r="J132" s="146" t="str">
        <f>VLOOKUP(K132,[1]Scheme!B:C,2,0)</f>
        <v>A12</v>
      </c>
      <c r="K132" s="147" t="s">
        <v>824</v>
      </c>
      <c r="L132" s="148"/>
    </row>
    <row r="133" spans="1:12" s="149" customFormat="1" ht="12">
      <c r="A133" s="143" t="s">
        <v>650</v>
      </c>
      <c r="B133" s="144">
        <v>35</v>
      </c>
      <c r="C133" s="143"/>
      <c r="D133" s="143"/>
      <c r="E133" s="145"/>
      <c r="F133" s="146" t="str">
        <f t="shared" si="1"/>
        <v>A.35</v>
      </c>
      <c r="G133" s="147" t="s">
        <v>827</v>
      </c>
      <c r="H133" s="146" t="str">
        <f>VLOOKUP(I133,[1]Scheme!D:F,3,0)</f>
        <v>A17.01</v>
      </c>
      <c r="I133" s="147" t="s">
        <v>808</v>
      </c>
      <c r="J133" s="146" t="str">
        <f>VLOOKUP(K133,[1]Scheme!B:C,2,0)</f>
        <v>A17</v>
      </c>
      <c r="K133" s="147" t="s">
        <v>808</v>
      </c>
      <c r="L133" s="148"/>
    </row>
    <row r="134" spans="1:12" s="149" customFormat="1" ht="12">
      <c r="A134" s="143" t="s">
        <v>650</v>
      </c>
      <c r="B134" s="144">
        <v>35</v>
      </c>
      <c r="C134" s="143" t="s">
        <v>653</v>
      </c>
      <c r="D134" s="143"/>
      <c r="E134" s="145"/>
      <c r="F134" s="146" t="str">
        <f t="shared" si="1"/>
        <v>A.351</v>
      </c>
      <c r="G134" s="147" t="s">
        <v>828</v>
      </c>
      <c r="H134" s="146" t="str">
        <f>VLOOKUP(I134,[1]Scheme!D:F,3,0)</f>
        <v>A18.05</v>
      </c>
      <c r="I134" s="147" t="s">
        <v>828</v>
      </c>
      <c r="J134" s="146" t="str">
        <f>VLOOKUP(K134,[1]Scheme!B:C,2,0)</f>
        <v>A18</v>
      </c>
      <c r="K134" s="147" t="s">
        <v>790</v>
      </c>
      <c r="L134" s="148"/>
    </row>
    <row r="135" spans="1:12" s="149" customFormat="1" ht="12">
      <c r="A135" s="143" t="s">
        <v>650</v>
      </c>
      <c r="B135" s="144">
        <v>35</v>
      </c>
      <c r="C135" s="143" t="s">
        <v>658</v>
      </c>
      <c r="D135" s="143"/>
      <c r="E135" s="145"/>
      <c r="F135" s="146" t="str">
        <f t="shared" si="1"/>
        <v>A.352</v>
      </c>
      <c r="G135" s="147" t="s">
        <v>829</v>
      </c>
      <c r="H135" s="146" t="str">
        <f>VLOOKUP(I135,[1]Scheme!D:F,3,0)</f>
        <v>A17.01</v>
      </c>
      <c r="I135" s="147" t="s">
        <v>808</v>
      </c>
      <c r="J135" s="146" t="str">
        <f>VLOOKUP(K135,[1]Scheme!B:C,2,0)</f>
        <v>A17</v>
      </c>
      <c r="K135" s="147" t="s">
        <v>808</v>
      </c>
      <c r="L135" s="148"/>
    </row>
    <row r="136" spans="1:12" s="149" customFormat="1" ht="12">
      <c r="A136" s="143" t="s">
        <v>650</v>
      </c>
      <c r="B136" s="144">
        <v>36</v>
      </c>
      <c r="C136" s="143"/>
      <c r="D136" s="143"/>
      <c r="E136" s="145"/>
      <c r="F136" s="146" t="str">
        <f t="shared" si="1"/>
        <v>A.36</v>
      </c>
      <c r="G136" s="147" t="s">
        <v>830</v>
      </c>
      <c r="H136" s="146" t="str">
        <f>VLOOKUP(I136,[1]Scheme!D:F,3,0)</f>
        <v>A05.01</v>
      </c>
      <c r="I136" s="147" t="s">
        <v>831</v>
      </c>
      <c r="J136" s="146" t="str">
        <f>VLOOKUP(K136,[1]Scheme!B:C,2,0)</f>
        <v>A05</v>
      </c>
      <c r="K136" s="147" t="s">
        <v>831</v>
      </c>
      <c r="L136" s="148"/>
    </row>
    <row r="137" spans="1:12" s="149" customFormat="1" ht="12">
      <c r="A137" s="143" t="s">
        <v>650</v>
      </c>
      <c r="B137" s="144">
        <v>36</v>
      </c>
      <c r="C137" s="143" t="s">
        <v>653</v>
      </c>
      <c r="D137" s="143"/>
      <c r="E137" s="145"/>
      <c r="F137" s="146" t="str">
        <f t="shared" si="1"/>
        <v>A.361</v>
      </c>
      <c r="G137" s="147" t="s">
        <v>831</v>
      </c>
      <c r="H137" s="146" t="str">
        <f>VLOOKUP(I137,[1]Scheme!D:F,3,0)</f>
        <v>A05.01</v>
      </c>
      <c r="I137" s="147" t="s">
        <v>831</v>
      </c>
      <c r="J137" s="146" t="str">
        <f>VLOOKUP(K137,[1]Scheme!B:C,2,0)</f>
        <v>A05</v>
      </c>
      <c r="K137" s="147" t="s">
        <v>831</v>
      </c>
      <c r="L137" s="148"/>
    </row>
    <row r="138" spans="1:12" s="149" customFormat="1" ht="12">
      <c r="A138" s="143" t="s">
        <v>832</v>
      </c>
      <c r="B138" s="144">
        <v>36</v>
      </c>
      <c r="C138" s="143" t="s">
        <v>653</v>
      </c>
      <c r="D138" s="143"/>
      <c r="E138" s="145"/>
      <c r="F138" s="146" t="str">
        <f t="shared" si="1"/>
        <v>L.361</v>
      </c>
      <c r="G138" s="147" t="s">
        <v>833</v>
      </c>
      <c r="H138" s="146" t="str">
        <f>VLOOKUP(I138,[1]Scheme!D:F,3,0)</f>
        <v>L10.01</v>
      </c>
      <c r="I138" s="147" t="s">
        <v>833</v>
      </c>
      <c r="J138" s="146" t="str">
        <f>VLOOKUP(K138,[1]Scheme!B:C,2,0)</f>
        <v>L10</v>
      </c>
      <c r="K138" s="147" t="s">
        <v>834</v>
      </c>
      <c r="L138" s="148"/>
    </row>
    <row r="139" spans="1:12" s="149" customFormat="1" ht="12">
      <c r="A139" s="143" t="s">
        <v>650</v>
      </c>
      <c r="B139" s="144">
        <v>36</v>
      </c>
      <c r="C139" s="143" t="s">
        <v>653</v>
      </c>
      <c r="D139" s="143" t="s">
        <v>835</v>
      </c>
      <c r="E139" s="145"/>
      <c r="F139" s="146" t="str">
        <f t="shared" si="1"/>
        <v>A.361.RP</v>
      </c>
      <c r="G139" s="147" t="s">
        <v>836</v>
      </c>
      <c r="H139" s="146" t="str">
        <f>VLOOKUP(I139,[1]Scheme!D:F,3,0)</f>
        <v>A05.01</v>
      </c>
      <c r="I139" s="147" t="s">
        <v>831</v>
      </c>
      <c r="J139" s="146" t="str">
        <f>VLOOKUP(K139,[1]Scheme!B:C,2,0)</f>
        <v>A05</v>
      </c>
      <c r="K139" s="147" t="s">
        <v>831</v>
      </c>
      <c r="L139" s="148"/>
    </row>
    <row r="140" spans="1:12" s="149" customFormat="1" ht="12">
      <c r="A140" s="143" t="s">
        <v>650</v>
      </c>
      <c r="B140" s="144">
        <v>36</v>
      </c>
      <c r="C140" s="143" t="s">
        <v>653</v>
      </c>
      <c r="D140" s="143" t="s">
        <v>698</v>
      </c>
      <c r="E140" s="145"/>
      <c r="F140" s="146" t="str">
        <f t="shared" ref="F140:F204" si="2">CONCATENATE(A140,".",B140&amp;C140,IF(D140="","",CONCATENATE(".",D140)))</f>
        <v>A.361.02</v>
      </c>
      <c r="G140" s="147" t="s">
        <v>837</v>
      </c>
      <c r="H140" s="146" t="str">
        <f>VLOOKUP(I140,[1]Scheme!D:F,3,0)</f>
        <v>A05.01</v>
      </c>
      <c r="I140" s="147" t="s">
        <v>831</v>
      </c>
      <c r="J140" s="146" t="str">
        <f>VLOOKUP(K140,[1]Scheme!B:C,2,0)</f>
        <v>A05</v>
      </c>
      <c r="K140" s="147" t="s">
        <v>831</v>
      </c>
      <c r="L140" s="148"/>
    </row>
    <row r="141" spans="1:12" s="149" customFormat="1" ht="12">
      <c r="A141" s="143" t="s">
        <v>650</v>
      </c>
      <c r="B141" s="144">
        <v>36</v>
      </c>
      <c r="C141" s="143" t="s">
        <v>658</v>
      </c>
      <c r="D141" s="143"/>
      <c r="E141" s="145"/>
      <c r="F141" s="146" t="str">
        <f t="shared" si="2"/>
        <v>A.362</v>
      </c>
      <c r="G141" s="147" t="s">
        <v>838</v>
      </c>
      <c r="H141" s="146" t="str">
        <f>VLOOKUP(I141,[1]Scheme!D:F,3,0)</f>
        <v>A05.01</v>
      </c>
      <c r="I141" s="147" t="s">
        <v>831</v>
      </c>
      <c r="J141" s="146" t="str">
        <f>VLOOKUP(K141,[1]Scheme!B:C,2,0)</f>
        <v>A05</v>
      </c>
      <c r="K141" s="147" t="s">
        <v>831</v>
      </c>
      <c r="L141" s="148"/>
    </row>
    <row r="142" spans="1:12" s="149" customFormat="1" ht="12">
      <c r="A142" s="143" t="s">
        <v>832</v>
      </c>
      <c r="B142" s="144">
        <v>36</v>
      </c>
      <c r="C142" s="143" t="s">
        <v>658</v>
      </c>
      <c r="D142" s="143"/>
      <c r="E142" s="145"/>
      <c r="F142" s="146" t="str">
        <f t="shared" si="2"/>
        <v>L.362</v>
      </c>
      <c r="G142" s="147" t="s">
        <v>833</v>
      </c>
      <c r="H142" s="146" t="str">
        <f>VLOOKUP(I142,[1]Scheme!D:F,3,0)</f>
        <v>L10.01</v>
      </c>
      <c r="I142" s="147" t="s">
        <v>833</v>
      </c>
      <c r="J142" s="146" t="str">
        <f>VLOOKUP(K142,[1]Scheme!B:C,2,0)</f>
        <v>L10</v>
      </c>
      <c r="K142" s="147" t="s">
        <v>834</v>
      </c>
      <c r="L142" s="148"/>
    </row>
    <row r="143" spans="1:12" s="149" customFormat="1" ht="12">
      <c r="A143" s="143" t="s">
        <v>650</v>
      </c>
      <c r="B143" s="144">
        <v>36</v>
      </c>
      <c r="C143" s="143" t="s">
        <v>658</v>
      </c>
      <c r="D143" s="143" t="s">
        <v>835</v>
      </c>
      <c r="E143" s="145"/>
      <c r="F143" s="146" t="str">
        <f t="shared" si="2"/>
        <v>A.362.RP</v>
      </c>
      <c r="G143" s="147" t="s">
        <v>839</v>
      </c>
      <c r="H143" s="146" t="str">
        <f>VLOOKUP(I143,[1]Scheme!D:F,3,0)</f>
        <v>A05.01</v>
      </c>
      <c r="I143" s="147" t="s">
        <v>831</v>
      </c>
      <c r="J143" s="146" t="str">
        <f>VLOOKUP(K143,[1]Scheme!B:C,2,0)</f>
        <v>A05</v>
      </c>
      <c r="K143" s="147" t="s">
        <v>831</v>
      </c>
      <c r="L143" s="148"/>
    </row>
    <row r="144" spans="1:12" s="149" customFormat="1" ht="12">
      <c r="A144" s="143" t="s">
        <v>650</v>
      </c>
      <c r="B144" s="144">
        <v>36</v>
      </c>
      <c r="C144" s="143" t="s">
        <v>658</v>
      </c>
      <c r="D144" s="143" t="s">
        <v>698</v>
      </c>
      <c r="E144" s="145"/>
      <c r="F144" s="146" t="str">
        <f t="shared" si="2"/>
        <v>A.362.02</v>
      </c>
      <c r="G144" s="147" t="s">
        <v>840</v>
      </c>
      <c r="H144" s="146" t="str">
        <f>VLOOKUP(I144,[1]Scheme!D:F,3,0)</f>
        <v>A05.01</v>
      </c>
      <c r="I144" s="147" t="s">
        <v>831</v>
      </c>
      <c r="J144" s="146" t="str">
        <f>VLOOKUP(K144,[1]Scheme!B:C,2,0)</f>
        <v>A05</v>
      </c>
      <c r="K144" s="147" t="s">
        <v>831</v>
      </c>
      <c r="L144" s="148"/>
    </row>
    <row r="145" spans="1:12" s="149" customFormat="1" ht="12">
      <c r="A145" s="143" t="s">
        <v>650</v>
      </c>
      <c r="B145" s="144">
        <v>36</v>
      </c>
      <c r="C145" s="143" t="s">
        <v>660</v>
      </c>
      <c r="D145" s="143"/>
      <c r="E145" s="145"/>
      <c r="F145" s="146" t="str">
        <f t="shared" si="2"/>
        <v>A.363</v>
      </c>
      <c r="G145" s="147" t="s">
        <v>841</v>
      </c>
      <c r="H145" s="146" t="str">
        <f>VLOOKUP(I145,[1]Scheme!D:F,3,0)</f>
        <v>A05.01</v>
      </c>
      <c r="I145" s="147" t="s">
        <v>831</v>
      </c>
      <c r="J145" s="146" t="str">
        <f>VLOOKUP(K145,[1]Scheme!B:C,2,0)</f>
        <v>A05</v>
      </c>
      <c r="K145" s="147" t="s">
        <v>831</v>
      </c>
      <c r="L145" s="148"/>
    </row>
    <row r="146" spans="1:12" s="149" customFormat="1" ht="12">
      <c r="A146" s="143" t="s">
        <v>650</v>
      </c>
      <c r="B146" s="144">
        <v>37</v>
      </c>
      <c r="C146" s="143"/>
      <c r="D146" s="143"/>
      <c r="E146" s="145"/>
      <c r="F146" s="146" t="str">
        <f t="shared" si="2"/>
        <v>A.37</v>
      </c>
      <c r="G146" s="147" t="s">
        <v>842</v>
      </c>
      <c r="H146" s="146" t="str">
        <f>VLOOKUP(I146,[1]Scheme!D:F,3,0)</f>
        <v>A13.01</v>
      </c>
      <c r="I146" s="147" t="s">
        <v>843</v>
      </c>
      <c r="J146" s="146" t="str">
        <f>VLOOKUP(K146,[1]Scheme!B:C,2,0)</f>
        <v>A13</v>
      </c>
      <c r="K146" s="147" t="s">
        <v>843</v>
      </c>
      <c r="L146" s="148"/>
    </row>
    <row r="147" spans="1:12" s="149" customFormat="1" ht="12">
      <c r="A147" s="143" t="s">
        <v>650</v>
      </c>
      <c r="B147" s="144">
        <v>37</v>
      </c>
      <c r="C147" s="143" t="s">
        <v>653</v>
      </c>
      <c r="D147" s="143"/>
      <c r="E147" s="145"/>
      <c r="F147" s="146" t="str">
        <f t="shared" si="2"/>
        <v>A.371</v>
      </c>
      <c r="G147" s="147" t="s">
        <v>844</v>
      </c>
      <c r="H147" s="146" t="str">
        <f>VLOOKUP(I147,[1]Scheme!D:F,3,0)</f>
        <v>A13.01</v>
      </c>
      <c r="I147" s="147" t="s">
        <v>843</v>
      </c>
      <c r="J147" s="146" t="str">
        <f>VLOOKUP(K147,[1]Scheme!B:C,2,0)</f>
        <v>A13</v>
      </c>
      <c r="K147" s="147" t="s">
        <v>843</v>
      </c>
      <c r="L147" s="148"/>
    </row>
    <row r="148" spans="1:12" s="149" customFormat="1" ht="12">
      <c r="A148" s="143" t="s">
        <v>832</v>
      </c>
      <c r="B148" s="144">
        <v>37</v>
      </c>
      <c r="C148" s="143" t="s">
        <v>653</v>
      </c>
      <c r="D148" s="143"/>
      <c r="E148" s="145"/>
      <c r="F148" s="146" t="str">
        <f t="shared" si="2"/>
        <v>L.371</v>
      </c>
      <c r="G148" s="147" t="s">
        <v>845</v>
      </c>
      <c r="H148" s="146" t="str">
        <f>VLOOKUP(I148,[1]Scheme!D:F,3,0)</f>
        <v>L08.01</v>
      </c>
      <c r="I148" s="147" t="s">
        <v>845</v>
      </c>
      <c r="J148" s="146" t="str">
        <f>VLOOKUP(K148,[1]Scheme!B:C,2,0)</f>
        <v>L08</v>
      </c>
      <c r="K148" s="147" t="s">
        <v>846</v>
      </c>
      <c r="L148" s="148"/>
    </row>
    <row r="149" spans="1:12" s="149" customFormat="1" ht="12">
      <c r="A149" s="143" t="s">
        <v>650</v>
      </c>
      <c r="B149" s="144">
        <v>37</v>
      </c>
      <c r="C149" s="143" t="s">
        <v>653</v>
      </c>
      <c r="D149" s="143" t="s">
        <v>692</v>
      </c>
      <c r="E149" s="145"/>
      <c r="F149" s="146" t="str">
        <f t="shared" si="2"/>
        <v>A.371.01</v>
      </c>
      <c r="G149" s="147" t="s">
        <v>847</v>
      </c>
      <c r="H149" s="146" t="str">
        <f>VLOOKUP(I149,[1]Scheme!D:F,3,0)</f>
        <v>A03.01</v>
      </c>
      <c r="I149" s="147" t="s">
        <v>748</v>
      </c>
      <c r="J149" s="146" t="str">
        <f>VLOOKUP(K149,[1]Scheme!B:C,2,0)</f>
        <v>A03</v>
      </c>
      <c r="K149" s="147" t="s">
        <v>848</v>
      </c>
      <c r="L149" s="148"/>
    </row>
    <row r="150" spans="1:12" s="149" customFormat="1" ht="12">
      <c r="A150" s="143" t="s">
        <v>650</v>
      </c>
      <c r="B150" s="144">
        <v>37</v>
      </c>
      <c r="C150" s="143" t="s">
        <v>653</v>
      </c>
      <c r="D150" s="143" t="s">
        <v>698</v>
      </c>
      <c r="E150" s="145"/>
      <c r="F150" s="146" t="str">
        <f t="shared" si="2"/>
        <v>A.371.02</v>
      </c>
      <c r="G150" s="147" t="s">
        <v>849</v>
      </c>
      <c r="H150" s="146" t="str">
        <f>VLOOKUP(I150,[1]Scheme!D:F,3,0)</f>
        <v>A03.02</v>
      </c>
      <c r="I150" s="147" t="s">
        <v>850</v>
      </c>
      <c r="J150" s="146" t="str">
        <f>VLOOKUP(K150,[1]Scheme!B:C,2,0)</f>
        <v>A03</v>
      </c>
      <c r="K150" s="147" t="s">
        <v>848</v>
      </c>
      <c r="L150" s="148"/>
    </row>
    <row r="151" spans="1:12" s="149" customFormat="1" ht="12">
      <c r="A151" s="143" t="s">
        <v>650</v>
      </c>
      <c r="B151" s="144">
        <v>37</v>
      </c>
      <c r="C151" s="143" t="s">
        <v>653</v>
      </c>
      <c r="D151" s="143" t="s">
        <v>700</v>
      </c>
      <c r="E151" s="145"/>
      <c r="F151" s="146" t="str">
        <f t="shared" si="2"/>
        <v>A.371.03</v>
      </c>
      <c r="G151" s="147" t="s">
        <v>851</v>
      </c>
      <c r="H151" s="146" t="str">
        <f>VLOOKUP(I151,[1]Scheme!D:F,3,0)</f>
        <v>A13.01</v>
      </c>
      <c r="I151" s="147" t="s">
        <v>843</v>
      </c>
      <c r="J151" s="146" t="str">
        <f>VLOOKUP(K151,[1]Scheme!B:C,2,0)</f>
        <v>A13</v>
      </c>
      <c r="K151" s="147" t="s">
        <v>843</v>
      </c>
      <c r="L151" s="148"/>
    </row>
    <row r="152" spans="1:12" s="149" customFormat="1" ht="12">
      <c r="A152" s="143" t="s">
        <v>650</v>
      </c>
      <c r="B152" s="144">
        <v>37</v>
      </c>
      <c r="C152" s="143" t="s">
        <v>653</v>
      </c>
      <c r="D152" s="143" t="s">
        <v>706</v>
      </c>
      <c r="E152" s="145"/>
      <c r="F152" s="146" t="str">
        <f t="shared" si="2"/>
        <v>A.371.04</v>
      </c>
      <c r="G152" s="147" t="s">
        <v>851</v>
      </c>
      <c r="H152" s="146" t="str">
        <f>VLOOKUP(I152,[1]Scheme!D:F,3,0)</f>
        <v>A13.01</v>
      </c>
      <c r="I152" s="147" t="s">
        <v>843</v>
      </c>
      <c r="J152" s="146" t="str">
        <f>VLOOKUP(K152,[1]Scheme!B:C,2,0)</f>
        <v>A13</v>
      </c>
      <c r="K152" s="147" t="s">
        <v>843</v>
      </c>
      <c r="L152" s="148"/>
    </row>
    <row r="153" spans="1:12" s="149" customFormat="1" ht="12">
      <c r="A153" s="143" t="s">
        <v>650</v>
      </c>
      <c r="B153" s="144">
        <v>37</v>
      </c>
      <c r="C153" s="143" t="s">
        <v>653</v>
      </c>
      <c r="D153" s="143" t="s">
        <v>708</v>
      </c>
      <c r="E153" s="145"/>
      <c r="F153" s="146" t="str">
        <f t="shared" si="2"/>
        <v>A.371.05</v>
      </c>
      <c r="G153" s="147" t="s">
        <v>851</v>
      </c>
      <c r="H153" s="146" t="str">
        <f>VLOOKUP(I153,[1]Scheme!D:F,3,0)</f>
        <v>A13.01</v>
      </c>
      <c r="I153" s="147" t="s">
        <v>843</v>
      </c>
      <c r="J153" s="146" t="str">
        <f>VLOOKUP(K153,[1]Scheme!B:C,2,0)</f>
        <v>A13</v>
      </c>
      <c r="K153" s="147" t="s">
        <v>843</v>
      </c>
      <c r="L153" s="148"/>
    </row>
    <row r="154" spans="1:12" s="149" customFormat="1" ht="12">
      <c r="A154" s="143" t="s">
        <v>650</v>
      </c>
      <c r="B154" s="144">
        <v>37</v>
      </c>
      <c r="C154" s="143" t="s">
        <v>658</v>
      </c>
      <c r="D154" s="143"/>
      <c r="E154" s="145"/>
      <c r="F154" s="146" t="str">
        <f t="shared" si="2"/>
        <v>A.372</v>
      </c>
      <c r="G154" s="147" t="s">
        <v>852</v>
      </c>
      <c r="H154" s="146" t="str">
        <f>VLOOKUP(I154,[1]Scheme!D:F,3,0)</f>
        <v>A13.01</v>
      </c>
      <c r="I154" s="147" t="s">
        <v>843</v>
      </c>
      <c r="J154" s="146" t="str">
        <f>VLOOKUP(K154,[1]Scheme!B:C,2,0)</f>
        <v>A13</v>
      </c>
      <c r="K154" s="147" t="s">
        <v>843</v>
      </c>
      <c r="L154" s="148"/>
    </row>
    <row r="155" spans="1:12" s="149" customFormat="1" ht="12">
      <c r="A155" s="143" t="s">
        <v>832</v>
      </c>
      <c r="B155" s="144">
        <v>37</v>
      </c>
      <c r="C155" s="143" t="s">
        <v>658</v>
      </c>
      <c r="D155" s="143"/>
      <c r="E155" s="145"/>
      <c r="F155" s="146" t="str">
        <f t="shared" si="2"/>
        <v>L.372</v>
      </c>
      <c r="G155" s="147" t="s">
        <v>852</v>
      </c>
      <c r="H155" s="146" t="s">
        <v>88</v>
      </c>
      <c r="I155" s="147" t="s">
        <v>853</v>
      </c>
      <c r="J155" s="146" t="str">
        <f>VLOOKUP(K155,[1]Scheme!B:C,2,0)</f>
        <v>L08</v>
      </c>
      <c r="K155" s="147" t="s">
        <v>846</v>
      </c>
      <c r="L155" s="148"/>
    </row>
    <row r="156" spans="1:12" s="149" customFormat="1" ht="12">
      <c r="A156" s="143" t="s">
        <v>650</v>
      </c>
      <c r="B156" s="144">
        <v>37</v>
      </c>
      <c r="C156" s="143" t="s">
        <v>660</v>
      </c>
      <c r="D156" s="143"/>
      <c r="E156" s="145"/>
      <c r="F156" s="146" t="str">
        <f t="shared" si="2"/>
        <v>A.373</v>
      </c>
      <c r="G156" s="147" t="s">
        <v>854</v>
      </c>
      <c r="H156" s="146" t="str">
        <f>VLOOKUP(I156,[1]Scheme!D:F,3,0)</f>
        <v>A12.03</v>
      </c>
      <c r="I156" s="147" t="s">
        <v>824</v>
      </c>
      <c r="J156" s="146" t="str">
        <f>VLOOKUP(K156,[1]Scheme!B:C,2,0)</f>
        <v>A12</v>
      </c>
      <c r="K156" s="147" t="s">
        <v>824</v>
      </c>
      <c r="L156" s="148"/>
    </row>
    <row r="157" spans="1:12" s="149" customFormat="1" ht="12">
      <c r="A157" s="143" t="s">
        <v>650</v>
      </c>
      <c r="B157" s="144">
        <v>37</v>
      </c>
      <c r="C157" s="143" t="s">
        <v>662</v>
      </c>
      <c r="D157" s="143"/>
      <c r="E157" s="145"/>
      <c r="F157" s="146" t="str">
        <f t="shared" si="2"/>
        <v>A.374</v>
      </c>
      <c r="G157" s="147" t="s">
        <v>855</v>
      </c>
      <c r="H157" s="146" t="str">
        <f>VLOOKUP(I157,[1]Scheme!D:F,3,0)</f>
        <v>A12.03</v>
      </c>
      <c r="I157" s="147" t="s">
        <v>824</v>
      </c>
      <c r="J157" s="146" t="str">
        <f>VLOOKUP(K157,[1]Scheme!B:C,2,0)</f>
        <v>A12</v>
      </c>
      <c r="K157" s="147" t="s">
        <v>824</v>
      </c>
      <c r="L157" s="148"/>
    </row>
    <row r="158" spans="1:12" s="149" customFormat="1" ht="12">
      <c r="A158" s="143" t="s">
        <v>650</v>
      </c>
      <c r="B158" s="144">
        <v>37</v>
      </c>
      <c r="C158" s="143" t="s">
        <v>668</v>
      </c>
      <c r="D158" s="143"/>
      <c r="E158" s="145"/>
      <c r="F158" s="146" t="str">
        <f t="shared" si="2"/>
        <v>A.375</v>
      </c>
      <c r="G158" s="147" t="s">
        <v>856</v>
      </c>
      <c r="H158" s="146" t="str">
        <f>VLOOKUP(I158,[1]Scheme!D:F,3,0)</f>
        <v>A12.03</v>
      </c>
      <c r="I158" s="147" t="s">
        <v>824</v>
      </c>
      <c r="J158" s="146" t="str">
        <f>VLOOKUP(K158,[1]Scheme!B:C,2,0)</f>
        <v>A12</v>
      </c>
      <c r="K158" s="147" t="s">
        <v>824</v>
      </c>
      <c r="L158" s="148"/>
    </row>
    <row r="159" spans="1:12" s="149" customFormat="1" ht="12">
      <c r="A159" s="143" t="s">
        <v>650</v>
      </c>
      <c r="B159" s="144">
        <v>37</v>
      </c>
      <c r="C159" s="143" t="s">
        <v>670</v>
      </c>
      <c r="D159" s="143"/>
      <c r="E159" s="145"/>
      <c r="F159" s="146" t="str">
        <f t="shared" si="2"/>
        <v>A.376</v>
      </c>
      <c r="G159" s="147" t="s">
        <v>857</v>
      </c>
      <c r="H159" s="146" t="str">
        <f>VLOOKUP(I159,[1]Scheme!D:F,3,0)</f>
        <v>A12.03</v>
      </c>
      <c r="I159" s="147" t="s">
        <v>824</v>
      </c>
      <c r="J159" s="146" t="str">
        <f>VLOOKUP(K159,[1]Scheme!B:C,2,0)</f>
        <v>A12</v>
      </c>
      <c r="K159" s="147" t="s">
        <v>824</v>
      </c>
      <c r="L159" s="148"/>
    </row>
    <row r="160" spans="1:12" s="149" customFormat="1" ht="12">
      <c r="A160" s="143" t="s">
        <v>650</v>
      </c>
      <c r="B160" s="144">
        <v>37</v>
      </c>
      <c r="C160" s="143" t="s">
        <v>681</v>
      </c>
      <c r="D160" s="143"/>
      <c r="E160" s="145"/>
      <c r="F160" s="146" t="str">
        <f t="shared" si="2"/>
        <v>A.377</v>
      </c>
      <c r="G160" s="147" t="s">
        <v>858</v>
      </c>
      <c r="H160" s="146" t="str">
        <f>VLOOKUP(I160,[1]Scheme!D:F,3,0)</f>
        <v>A12.03</v>
      </c>
      <c r="I160" s="147" t="s">
        <v>824</v>
      </c>
      <c r="J160" s="146" t="str">
        <f>VLOOKUP(K160,[1]Scheme!B:C,2,0)</f>
        <v>A12</v>
      </c>
      <c r="K160" s="147" t="s">
        <v>824</v>
      </c>
      <c r="L160" s="148"/>
    </row>
    <row r="161" spans="1:12" s="149" customFormat="1" ht="12">
      <c r="A161" s="143" t="s">
        <v>832</v>
      </c>
      <c r="B161" s="144">
        <v>37</v>
      </c>
      <c r="C161" s="143" t="s">
        <v>681</v>
      </c>
      <c r="D161" s="143"/>
      <c r="E161" s="145"/>
      <c r="F161" s="146" t="str">
        <f t="shared" si="2"/>
        <v>L.377</v>
      </c>
      <c r="G161" s="147" t="s">
        <v>859</v>
      </c>
      <c r="H161" s="146" t="str">
        <f>VLOOKUP(I161,[1]Scheme!D:F,3,0)</f>
        <v>L08.03</v>
      </c>
      <c r="I161" s="147" t="s">
        <v>853</v>
      </c>
      <c r="J161" s="146" t="str">
        <f>VLOOKUP(K161,[1]Scheme!B:C,2,0)</f>
        <v>L08</v>
      </c>
      <c r="K161" s="147" t="s">
        <v>846</v>
      </c>
      <c r="L161" s="148"/>
    </row>
    <row r="162" spans="1:12" s="149" customFormat="1" ht="12">
      <c r="A162" s="143" t="s">
        <v>650</v>
      </c>
      <c r="B162" s="144">
        <v>37</v>
      </c>
      <c r="C162" s="143" t="s">
        <v>681</v>
      </c>
      <c r="D162" s="143" t="s">
        <v>692</v>
      </c>
      <c r="E162" s="145"/>
      <c r="F162" s="146" t="str">
        <f t="shared" si="2"/>
        <v>A.377.01</v>
      </c>
      <c r="G162" s="147" t="s">
        <v>860</v>
      </c>
      <c r="H162" s="146" t="str">
        <f>VLOOKUP(I162,[1]Scheme!D:F,3,0)</f>
        <v>A12.03</v>
      </c>
      <c r="I162" s="147" t="s">
        <v>824</v>
      </c>
      <c r="J162" s="146" t="str">
        <f>VLOOKUP(K162,[1]Scheme!B:C,2,0)</f>
        <v>A12</v>
      </c>
      <c r="K162" s="147" t="s">
        <v>824</v>
      </c>
      <c r="L162" s="148"/>
    </row>
    <row r="163" spans="1:12" s="149" customFormat="1" ht="12">
      <c r="A163" s="143" t="s">
        <v>650</v>
      </c>
      <c r="B163" s="144">
        <v>37</v>
      </c>
      <c r="C163" s="143" t="s">
        <v>681</v>
      </c>
      <c r="D163" s="143" t="s">
        <v>698</v>
      </c>
      <c r="E163" s="145"/>
      <c r="F163" s="146" t="str">
        <f t="shared" si="2"/>
        <v>A.377.02</v>
      </c>
      <c r="G163" s="147" t="s">
        <v>861</v>
      </c>
      <c r="H163" s="146" t="str">
        <f>VLOOKUP(I163,[1]Scheme!D:F,3,0)</f>
        <v>A12.03</v>
      </c>
      <c r="I163" s="147" t="s">
        <v>824</v>
      </c>
      <c r="J163" s="146" t="str">
        <f>VLOOKUP(K163,[1]Scheme!B:C,2,0)</f>
        <v>A12</v>
      </c>
      <c r="K163" s="147" t="s">
        <v>824</v>
      </c>
      <c r="L163" s="148"/>
    </row>
    <row r="164" spans="1:12" s="149" customFormat="1" ht="12">
      <c r="A164" s="143" t="s">
        <v>650</v>
      </c>
      <c r="B164" s="144">
        <v>37</v>
      </c>
      <c r="C164" s="143" t="s">
        <v>681</v>
      </c>
      <c r="D164" s="143" t="s">
        <v>700</v>
      </c>
      <c r="E164" s="145"/>
      <c r="F164" s="146" t="str">
        <f>CONCATENATE(A164,".",B164&amp;C164,IF(D164="","",CONCATENATE(".",D164)))</f>
        <v>A.377.03</v>
      </c>
      <c r="G164" s="147" t="s">
        <v>862</v>
      </c>
      <c r="H164" s="146" t="str">
        <f>VLOOKUP(I164,[1]Scheme!D:F,3,0)</f>
        <v>A12.03</v>
      </c>
      <c r="I164" s="147" t="s">
        <v>824</v>
      </c>
      <c r="J164" s="146" t="str">
        <f>VLOOKUP(K164,[1]Scheme!B:C,2,0)</f>
        <v>A12</v>
      </c>
      <c r="K164" s="147" t="s">
        <v>824</v>
      </c>
      <c r="L164" s="148"/>
    </row>
    <row r="165" spans="1:12" s="149" customFormat="1" ht="12">
      <c r="A165" s="143" t="s">
        <v>650</v>
      </c>
      <c r="B165" s="144">
        <v>38</v>
      </c>
      <c r="C165" s="143"/>
      <c r="D165" s="143"/>
      <c r="E165" s="145"/>
      <c r="F165" s="146" t="str">
        <f t="shared" si="2"/>
        <v>A.38</v>
      </c>
      <c r="G165" s="147" t="s">
        <v>863</v>
      </c>
      <c r="H165" s="146" t="str">
        <f>VLOOKUP(I165,[1]Scheme!D:F,3,0)</f>
        <v>A12.04</v>
      </c>
      <c r="I165" s="147" t="s">
        <v>864</v>
      </c>
      <c r="J165" s="146" t="str">
        <f>VLOOKUP(K165,[1]Scheme!B:C,2,0)</f>
        <v>A12</v>
      </c>
      <c r="K165" s="147" t="s">
        <v>824</v>
      </c>
      <c r="L165" s="148"/>
    </row>
    <row r="166" spans="1:12" s="149" customFormat="1" ht="12">
      <c r="A166" s="143" t="s">
        <v>650</v>
      </c>
      <c r="B166" s="144">
        <v>38</v>
      </c>
      <c r="C166" s="143" t="s">
        <v>653</v>
      </c>
      <c r="D166" s="143"/>
      <c r="E166" s="145"/>
      <c r="F166" s="146" t="str">
        <f t="shared" si="2"/>
        <v>A.381</v>
      </c>
      <c r="G166" s="147" t="s">
        <v>865</v>
      </c>
      <c r="H166" s="146" t="str">
        <f>VLOOKUP(I166,[1]Scheme!D:F,3,0)</f>
        <v>A05.01</v>
      </c>
      <c r="I166" s="147" t="s">
        <v>831</v>
      </c>
      <c r="J166" s="146" t="str">
        <f>VLOOKUP(K166,[1]Scheme!B:C,2,0)</f>
        <v>A05</v>
      </c>
      <c r="K166" s="147" t="s">
        <v>831</v>
      </c>
      <c r="L166" s="148"/>
    </row>
    <row r="167" spans="1:12" s="149" customFormat="1" ht="12">
      <c r="A167" s="143" t="s">
        <v>650</v>
      </c>
      <c r="B167" s="144">
        <v>38</v>
      </c>
      <c r="C167" s="143" t="s">
        <v>658</v>
      </c>
      <c r="D167" s="143"/>
      <c r="E167" s="145"/>
      <c r="F167" s="146" t="str">
        <f t="shared" si="2"/>
        <v>A.382</v>
      </c>
      <c r="G167" s="147" t="s">
        <v>866</v>
      </c>
      <c r="H167" s="146" t="str">
        <f>VLOOKUP(I167,[1]Scheme!D:F,3,0)</f>
        <v>A13.01</v>
      </c>
      <c r="I167" s="147" t="s">
        <v>843</v>
      </c>
      <c r="J167" s="146" t="str">
        <f>VLOOKUP(K167,[1]Scheme!B:C,2,0)</f>
        <v>A13</v>
      </c>
      <c r="K167" s="147" t="s">
        <v>843</v>
      </c>
      <c r="L167" s="148"/>
    </row>
    <row r="168" spans="1:12" s="149" customFormat="1" ht="12">
      <c r="A168" s="143" t="s">
        <v>650</v>
      </c>
      <c r="B168" s="144">
        <v>38</v>
      </c>
      <c r="C168" s="143" t="s">
        <v>660</v>
      </c>
      <c r="D168" s="143"/>
      <c r="E168" s="145"/>
      <c r="F168" s="146" t="str">
        <f t="shared" si="2"/>
        <v>A.383</v>
      </c>
      <c r="G168" s="147" t="s">
        <v>867</v>
      </c>
      <c r="H168" s="146" t="str">
        <f>VLOOKUP(I168,[1]Scheme!D:F,3,0)</f>
        <v>A12.03</v>
      </c>
      <c r="I168" s="147" t="s">
        <v>824</v>
      </c>
      <c r="J168" s="146" t="str">
        <f>VLOOKUP(K168,[1]Scheme!B:C,2,0)</f>
        <v>A12</v>
      </c>
      <c r="K168" s="147" t="s">
        <v>824</v>
      </c>
      <c r="L168" s="148"/>
    </row>
    <row r="169" spans="1:12" s="149" customFormat="1" ht="12">
      <c r="A169" s="143" t="s">
        <v>650</v>
      </c>
      <c r="B169" s="144">
        <v>39</v>
      </c>
      <c r="C169" s="143"/>
      <c r="D169" s="143"/>
      <c r="E169" s="145"/>
      <c r="F169" s="146" t="str">
        <f t="shared" si="2"/>
        <v>A.39</v>
      </c>
      <c r="G169" s="147" t="s">
        <v>868</v>
      </c>
      <c r="H169" s="146" t="str">
        <f>VLOOKUP(I169,[1]Scheme!D:F,3,0)</f>
        <v>A13.02</v>
      </c>
      <c r="I169" s="147" t="s">
        <v>868</v>
      </c>
      <c r="J169" s="146" t="str">
        <f>VLOOKUP(K169,[1]Scheme!B:C,2,0)</f>
        <v>A13</v>
      </c>
      <c r="K169" s="147" t="s">
        <v>843</v>
      </c>
      <c r="L169" s="148"/>
    </row>
    <row r="170" spans="1:12" s="149" customFormat="1" ht="12">
      <c r="A170" s="143" t="s">
        <v>650</v>
      </c>
      <c r="B170" s="144">
        <v>39</v>
      </c>
      <c r="C170" s="143" t="s">
        <v>653</v>
      </c>
      <c r="D170" s="143"/>
      <c r="E170" s="145"/>
      <c r="F170" s="146" t="str">
        <f t="shared" si="2"/>
        <v>A.391</v>
      </c>
      <c r="G170" s="147" t="s">
        <v>869</v>
      </c>
      <c r="H170" s="146" t="str">
        <f>VLOOKUP(I170,[1]Scheme!D:F,3,0)</f>
        <v>A13.02</v>
      </c>
      <c r="I170" s="147" t="s">
        <v>868</v>
      </c>
      <c r="J170" s="146" t="str">
        <f>VLOOKUP(K170,[1]Scheme!B:C,2,0)</f>
        <v>A13</v>
      </c>
      <c r="K170" s="147" t="s">
        <v>843</v>
      </c>
      <c r="L170" s="148"/>
    </row>
    <row r="171" spans="1:12" s="149" customFormat="1" ht="12">
      <c r="A171" s="143" t="s">
        <v>650</v>
      </c>
      <c r="B171" s="144">
        <v>39</v>
      </c>
      <c r="C171" s="143" t="s">
        <v>658</v>
      </c>
      <c r="D171" s="143"/>
      <c r="E171" s="145"/>
      <c r="F171" s="146" t="str">
        <f t="shared" si="2"/>
        <v>A.392</v>
      </c>
      <c r="G171" s="147" t="s">
        <v>870</v>
      </c>
      <c r="H171" s="146" t="str">
        <f>VLOOKUP(I171,[1]Scheme!D:F,3,0)</f>
        <v>A13.02</v>
      </c>
      <c r="I171" s="147" t="s">
        <v>868</v>
      </c>
      <c r="J171" s="146" t="str">
        <f>VLOOKUP(K171,[1]Scheme!B:C,2,0)</f>
        <v>A13</v>
      </c>
      <c r="K171" s="147" t="s">
        <v>843</v>
      </c>
      <c r="L171" s="148"/>
    </row>
    <row r="172" spans="1:12" s="149" customFormat="1" ht="12">
      <c r="A172" s="143" t="s">
        <v>871</v>
      </c>
      <c r="B172" s="144">
        <v>40</v>
      </c>
      <c r="C172" s="143"/>
      <c r="D172" s="143"/>
      <c r="E172" s="145"/>
      <c r="F172" s="146" t="str">
        <f t="shared" si="2"/>
        <v>E.40</v>
      </c>
      <c r="G172" s="147" t="s">
        <v>872</v>
      </c>
      <c r="H172" s="146" t="str">
        <f>VLOOKUP(I172,[1]Scheme!D:F,3,0)</f>
        <v>E01.01</v>
      </c>
      <c r="I172" s="147" t="s">
        <v>872</v>
      </c>
      <c r="J172" s="146" t="str">
        <f>VLOOKUP(K172,[1]Scheme!B:C,2,0)</f>
        <v>E01</v>
      </c>
      <c r="K172" s="147" t="s">
        <v>873</v>
      </c>
      <c r="L172" s="148"/>
    </row>
    <row r="173" spans="1:12" s="149" customFormat="1" ht="12">
      <c r="A173" s="143" t="s">
        <v>871</v>
      </c>
      <c r="B173" s="144">
        <v>40</v>
      </c>
      <c r="C173" s="143"/>
      <c r="D173" s="143" t="s">
        <v>692</v>
      </c>
      <c r="E173" s="145"/>
      <c r="F173" s="146" t="str">
        <f t="shared" si="2"/>
        <v>E.40.01</v>
      </c>
      <c r="G173" s="147" t="s">
        <v>874</v>
      </c>
      <c r="H173" s="146" t="str">
        <f>VLOOKUP(I173,[1]Scheme!D:F,3,0)</f>
        <v>E01.02</v>
      </c>
      <c r="I173" s="147" t="s">
        <v>874</v>
      </c>
      <c r="J173" s="146" t="str">
        <f>VLOOKUP(K173,[1]Scheme!B:C,2,0)</f>
        <v>E01</v>
      </c>
      <c r="K173" s="147" t="s">
        <v>873</v>
      </c>
      <c r="L173" s="148"/>
    </row>
    <row r="174" spans="1:12" s="149" customFormat="1" ht="12">
      <c r="A174" s="143" t="s">
        <v>871</v>
      </c>
      <c r="B174" s="144">
        <v>41</v>
      </c>
      <c r="C174" s="143"/>
      <c r="D174" s="143"/>
      <c r="E174" s="145"/>
      <c r="F174" s="146" t="str">
        <f t="shared" si="2"/>
        <v>E.41</v>
      </c>
      <c r="G174" s="147" t="s">
        <v>875</v>
      </c>
      <c r="H174" s="146" t="str">
        <f>VLOOKUP(I174,[1]Scheme!D:F,3,0)</f>
        <v>E03.03</v>
      </c>
      <c r="I174" s="147" t="s">
        <v>876</v>
      </c>
      <c r="J174" s="146" t="str">
        <f>VLOOKUP(K174,[1]Scheme!B:C,2,0)</f>
        <v>E03</v>
      </c>
      <c r="K174" s="147" t="s">
        <v>876</v>
      </c>
      <c r="L174" s="148"/>
    </row>
    <row r="175" spans="1:12" s="149" customFormat="1" ht="12">
      <c r="A175" s="143" t="s">
        <v>871</v>
      </c>
      <c r="B175" s="144">
        <v>42</v>
      </c>
      <c r="C175" s="143"/>
      <c r="D175" s="143"/>
      <c r="E175" s="145"/>
      <c r="F175" s="146" t="str">
        <f t="shared" si="2"/>
        <v>E.42</v>
      </c>
      <c r="G175" s="147" t="s">
        <v>876</v>
      </c>
      <c r="H175" s="146" t="str">
        <f>VLOOKUP(I175,[1]Scheme!D:F,3,0)</f>
        <v>E03.03</v>
      </c>
      <c r="I175" s="147" t="s">
        <v>876</v>
      </c>
      <c r="J175" s="146" t="str">
        <f>VLOOKUP(K175,[1]Scheme!B:C,2,0)</f>
        <v>E03</v>
      </c>
      <c r="K175" s="147" t="s">
        <v>876</v>
      </c>
      <c r="L175" s="148"/>
    </row>
    <row r="176" spans="1:12" s="149" customFormat="1" ht="12">
      <c r="A176" s="143" t="s">
        <v>871</v>
      </c>
      <c r="B176" s="144">
        <v>42</v>
      </c>
      <c r="C176" s="143" t="s">
        <v>653</v>
      </c>
      <c r="D176" s="143"/>
      <c r="E176" s="145"/>
      <c r="F176" s="146" t="str">
        <f t="shared" si="2"/>
        <v>E.421</v>
      </c>
      <c r="G176" s="147" t="s">
        <v>877</v>
      </c>
      <c r="H176" s="146" t="str">
        <f>VLOOKUP(I176,[1]Scheme!D:F,3,0)</f>
        <v>E04.04</v>
      </c>
      <c r="I176" s="147" t="s">
        <v>877</v>
      </c>
      <c r="J176" s="146" t="str">
        <f>VLOOKUP(K176,[1]Scheme!B:C,2,0)</f>
        <v>E04</v>
      </c>
      <c r="K176" s="147" t="s">
        <v>877</v>
      </c>
      <c r="L176" s="148"/>
    </row>
    <row r="177" spans="1:12" s="149" customFormat="1" ht="12">
      <c r="A177" s="143" t="s">
        <v>871</v>
      </c>
      <c r="B177" s="144">
        <v>42</v>
      </c>
      <c r="C177" s="143" t="s">
        <v>658</v>
      </c>
      <c r="D177" s="143"/>
      <c r="E177" s="145"/>
      <c r="F177" s="146" t="str">
        <f t="shared" si="2"/>
        <v>E.422</v>
      </c>
      <c r="G177" s="147" t="s">
        <v>878</v>
      </c>
      <c r="H177" s="146" t="str">
        <f>VLOOKUP(I177,[1]Scheme!D:F,3,0)</f>
        <v>E03.03</v>
      </c>
      <c r="I177" s="147" t="s">
        <v>876</v>
      </c>
      <c r="J177" s="146" t="str">
        <f>VLOOKUP(K177,[1]Scheme!B:C,2,0)</f>
        <v>E03</v>
      </c>
      <c r="K177" s="147" t="s">
        <v>876</v>
      </c>
      <c r="L177" s="148"/>
    </row>
    <row r="178" spans="1:12" s="149" customFormat="1" ht="12">
      <c r="A178" s="143" t="s">
        <v>871</v>
      </c>
      <c r="B178" s="144">
        <v>42</v>
      </c>
      <c r="C178" s="143" t="s">
        <v>660</v>
      </c>
      <c r="D178" s="143"/>
      <c r="E178" s="145"/>
      <c r="F178" s="146" t="str">
        <f t="shared" si="2"/>
        <v>E.423</v>
      </c>
      <c r="G178" s="147" t="s">
        <v>879</v>
      </c>
      <c r="H178" s="146" t="str">
        <f>VLOOKUP(I178,[1]Scheme!D:F,3,0)</f>
        <v>E09.01</v>
      </c>
      <c r="I178" s="147" t="s">
        <v>880</v>
      </c>
      <c r="J178" s="146" t="str">
        <f>VLOOKUP(K178,[1]Scheme!B:C,2,0)</f>
        <v>E09</v>
      </c>
      <c r="K178" s="147" t="s">
        <v>881</v>
      </c>
      <c r="L178" s="148"/>
    </row>
    <row r="179" spans="1:12" s="149" customFormat="1" ht="12">
      <c r="A179" s="143" t="s">
        <v>871</v>
      </c>
      <c r="B179" s="144">
        <v>42</v>
      </c>
      <c r="C179" s="143" t="s">
        <v>660</v>
      </c>
      <c r="D179" s="143" t="s">
        <v>692</v>
      </c>
      <c r="E179" s="145"/>
      <c r="F179" s="146" t="str">
        <f t="shared" si="2"/>
        <v>E.423.01</v>
      </c>
      <c r="G179" s="147" t="s">
        <v>882</v>
      </c>
      <c r="H179" s="146" t="str">
        <f>VLOOKUP(I179,[1]Scheme!D:F,3,0)</f>
        <v>E09.01</v>
      </c>
      <c r="I179" s="147" t="s">
        <v>880</v>
      </c>
      <c r="J179" s="146" t="str">
        <f>VLOOKUP(K179,[1]Scheme!B:C,2,0)</f>
        <v>E09</v>
      </c>
      <c r="K179" s="147" t="s">
        <v>881</v>
      </c>
      <c r="L179" s="148"/>
    </row>
    <row r="180" spans="1:12" s="149" customFormat="1" ht="12">
      <c r="A180" s="143" t="s">
        <v>871</v>
      </c>
      <c r="B180" s="144">
        <v>42</v>
      </c>
      <c r="C180" s="143" t="s">
        <v>660</v>
      </c>
      <c r="D180" s="143" t="s">
        <v>698</v>
      </c>
      <c r="E180" s="145"/>
      <c r="F180" s="146" t="str">
        <f t="shared" si="2"/>
        <v>E.423.02</v>
      </c>
      <c r="G180" s="147" t="s">
        <v>883</v>
      </c>
      <c r="H180" s="146" t="str">
        <f>VLOOKUP(I180,[1]Scheme!D:F,3,0)</f>
        <v>E09.01</v>
      </c>
      <c r="I180" s="147" t="s">
        <v>880</v>
      </c>
      <c r="J180" s="146" t="str">
        <f>VLOOKUP(K180,[1]Scheme!B:C,2,0)</f>
        <v>E09</v>
      </c>
      <c r="K180" s="147" t="s">
        <v>881</v>
      </c>
      <c r="L180" s="148"/>
    </row>
    <row r="181" spans="1:12" s="149" customFormat="1" ht="12">
      <c r="A181" s="143" t="s">
        <v>871</v>
      </c>
      <c r="B181" s="144">
        <v>42</v>
      </c>
      <c r="C181" s="143" t="s">
        <v>660</v>
      </c>
      <c r="D181" s="143" t="s">
        <v>700</v>
      </c>
      <c r="E181" s="145"/>
      <c r="F181" s="146" t="str">
        <f t="shared" si="2"/>
        <v>E.423.03</v>
      </c>
      <c r="G181" s="147" t="s">
        <v>884</v>
      </c>
      <c r="H181" s="146" t="str">
        <f>VLOOKUP(I181,[1]Scheme!D:F,3,0)</f>
        <v>E09.02</v>
      </c>
      <c r="I181" s="147" t="s">
        <v>885</v>
      </c>
      <c r="J181" s="146" t="str">
        <f>VLOOKUP(K181,[1]Scheme!B:C,2,0)</f>
        <v>E09</v>
      </c>
      <c r="K181" s="147" t="s">
        <v>881</v>
      </c>
      <c r="L181" s="148"/>
    </row>
    <row r="182" spans="1:12" s="149" customFormat="1" ht="12">
      <c r="A182" s="143" t="s">
        <v>871</v>
      </c>
      <c r="B182" s="144">
        <v>42</v>
      </c>
      <c r="C182" s="143" t="s">
        <v>660</v>
      </c>
      <c r="D182" s="143" t="s">
        <v>706</v>
      </c>
      <c r="E182" s="145"/>
      <c r="F182" s="146" t="str">
        <f t="shared" si="2"/>
        <v>E.423.04</v>
      </c>
      <c r="G182" s="147" t="s">
        <v>886</v>
      </c>
      <c r="H182" s="146" t="str">
        <f>VLOOKUP(I182,[1]Scheme!D:F,3,0)</f>
        <v>E09.02</v>
      </c>
      <c r="I182" s="147" t="s">
        <v>885</v>
      </c>
      <c r="J182" s="146" t="str">
        <f>VLOOKUP(K182,[1]Scheme!B:C,2,0)</f>
        <v>E09</v>
      </c>
      <c r="K182" s="147" t="s">
        <v>881</v>
      </c>
      <c r="L182" s="148"/>
    </row>
    <row r="183" spans="1:12" s="149" customFormat="1" ht="12">
      <c r="A183" s="143" t="s">
        <v>871</v>
      </c>
      <c r="B183" s="144">
        <v>42</v>
      </c>
      <c r="C183" s="143" t="s">
        <v>660</v>
      </c>
      <c r="D183" s="143" t="s">
        <v>708</v>
      </c>
      <c r="E183" s="145"/>
      <c r="F183" s="146" t="str">
        <f t="shared" si="2"/>
        <v>E.423.05</v>
      </c>
      <c r="G183" s="147" t="s">
        <v>887</v>
      </c>
      <c r="H183" s="146" t="str">
        <f>VLOOKUP(I183,[1]Scheme!D:F,3,0)</f>
        <v>E09.02</v>
      </c>
      <c r="I183" s="147" t="s">
        <v>885</v>
      </c>
      <c r="J183" s="146" t="str">
        <f>VLOOKUP(K183,[1]Scheme!B:C,2,0)</f>
        <v>E09</v>
      </c>
      <c r="K183" s="147" t="s">
        <v>881</v>
      </c>
      <c r="L183" s="148"/>
    </row>
    <row r="184" spans="1:12" s="149" customFormat="1" ht="12">
      <c r="A184" s="143" t="s">
        <v>871</v>
      </c>
      <c r="B184" s="144">
        <v>42</v>
      </c>
      <c r="C184" s="143" t="s">
        <v>660</v>
      </c>
      <c r="D184" s="143" t="s">
        <v>710</v>
      </c>
      <c r="E184" s="145"/>
      <c r="F184" s="146" t="str">
        <f t="shared" si="2"/>
        <v>E.423.06</v>
      </c>
      <c r="G184" s="147" t="s">
        <v>888</v>
      </c>
      <c r="H184" s="146" t="str">
        <f>VLOOKUP(I184,[1]Scheme!D:F,3,0)</f>
        <v>E09.02</v>
      </c>
      <c r="I184" s="147" t="s">
        <v>885</v>
      </c>
      <c r="J184" s="146" t="str">
        <f>VLOOKUP(K184,[1]Scheme!B:C,2,0)</f>
        <v>E09</v>
      </c>
      <c r="K184" s="147" t="s">
        <v>881</v>
      </c>
      <c r="L184" s="148"/>
    </row>
    <row r="185" spans="1:12" s="149" customFormat="1" ht="12">
      <c r="A185" s="143" t="s">
        <v>871</v>
      </c>
      <c r="B185" s="144">
        <v>42</v>
      </c>
      <c r="C185" s="143" t="s">
        <v>662</v>
      </c>
      <c r="D185" s="143"/>
      <c r="E185" s="145"/>
      <c r="F185" s="146" t="str">
        <f t="shared" si="2"/>
        <v>E.424</v>
      </c>
      <c r="G185" s="147" t="s">
        <v>889</v>
      </c>
      <c r="H185" s="146" t="str">
        <f>VLOOKUP(I185,[1]Scheme!D:F,3,0)</f>
        <v>E03.03</v>
      </c>
      <c r="I185" s="147" t="s">
        <v>876</v>
      </c>
      <c r="J185" s="146" t="str">
        <f>VLOOKUP(K185,[1]Scheme!B:C,2,0)</f>
        <v>E03</v>
      </c>
      <c r="K185" s="147" t="s">
        <v>876</v>
      </c>
      <c r="L185" s="148"/>
    </row>
    <row r="186" spans="1:12" s="149" customFormat="1" ht="12">
      <c r="A186" s="143" t="s">
        <v>871</v>
      </c>
      <c r="B186" s="144">
        <v>42</v>
      </c>
      <c r="C186" s="143" t="s">
        <v>668</v>
      </c>
      <c r="D186" s="143"/>
      <c r="E186" s="145"/>
      <c r="F186" s="146" t="str">
        <f t="shared" si="2"/>
        <v>E.425</v>
      </c>
      <c r="G186" s="147" t="s">
        <v>890</v>
      </c>
      <c r="H186" s="146" t="str">
        <f>VLOOKUP(I186,[1]Scheme!D:F,3,0)</f>
        <v>E03.03</v>
      </c>
      <c r="I186" s="147" t="s">
        <v>876</v>
      </c>
      <c r="J186" s="146" t="str">
        <f>VLOOKUP(K186,[1]Scheme!B:C,2,0)</f>
        <v>E03</v>
      </c>
      <c r="K186" s="147" t="s">
        <v>876</v>
      </c>
      <c r="L186" s="148"/>
    </row>
    <row r="187" spans="1:12" s="149" customFormat="1" ht="12">
      <c r="A187" s="143" t="s">
        <v>871</v>
      </c>
      <c r="B187" s="144">
        <v>42</v>
      </c>
      <c r="C187" s="143" t="s">
        <v>670</v>
      </c>
      <c r="D187" s="143" t="s">
        <v>692</v>
      </c>
      <c r="E187" s="145"/>
      <c r="F187" s="146" t="str">
        <f t="shared" si="2"/>
        <v>E.426.01</v>
      </c>
      <c r="G187" s="147" t="s">
        <v>891</v>
      </c>
      <c r="H187" s="146" t="str">
        <f>VLOOKUP(I187,[1]Scheme!D:F,3,0)</f>
        <v>E08.01</v>
      </c>
      <c r="I187" s="147" t="s">
        <v>892</v>
      </c>
      <c r="J187" s="146" t="str">
        <f>VLOOKUP(K187,[1]Scheme!B:C,2,0)</f>
        <v>E08</v>
      </c>
      <c r="K187" s="147" t="s">
        <v>893</v>
      </c>
      <c r="L187" s="148"/>
    </row>
    <row r="188" spans="1:12" s="149" customFormat="1" ht="12">
      <c r="A188" s="143" t="s">
        <v>871</v>
      </c>
      <c r="B188" s="144">
        <v>42</v>
      </c>
      <c r="C188" s="143" t="s">
        <v>670</v>
      </c>
      <c r="D188" s="143" t="s">
        <v>698</v>
      </c>
      <c r="E188" s="145"/>
      <c r="F188" s="146" t="str">
        <f t="shared" si="2"/>
        <v>E.426.02</v>
      </c>
      <c r="G188" s="147" t="s">
        <v>894</v>
      </c>
      <c r="H188" s="146" t="str">
        <f>VLOOKUP(I188,[1]Scheme!D:F,3,0)</f>
        <v>E08.02</v>
      </c>
      <c r="I188" s="147" t="s">
        <v>895</v>
      </c>
      <c r="J188" s="146" t="str">
        <f>VLOOKUP(K188,[1]Scheme!B:C,2,0)</f>
        <v>E08</v>
      </c>
      <c r="K188" s="147" t="s">
        <v>893</v>
      </c>
      <c r="L188" s="148"/>
    </row>
    <row r="189" spans="1:12" s="149" customFormat="1" ht="12">
      <c r="A189" s="143" t="s">
        <v>871</v>
      </c>
      <c r="B189" s="144">
        <v>43</v>
      </c>
      <c r="C189" s="143"/>
      <c r="D189" s="143"/>
      <c r="E189" s="145"/>
      <c r="F189" s="146" t="str">
        <f t="shared" si="2"/>
        <v>E.43</v>
      </c>
      <c r="G189" s="147" t="s">
        <v>896</v>
      </c>
      <c r="H189" s="146" t="str">
        <f>VLOOKUP(I189,[1]Scheme!D:F,3,0)</f>
        <v>E03.03</v>
      </c>
      <c r="I189" s="147" t="s">
        <v>876</v>
      </c>
      <c r="J189" s="146" t="str">
        <f>VLOOKUP(K189,[1]Scheme!B:C,2,0)</f>
        <v>E03</v>
      </c>
      <c r="K189" s="147" t="s">
        <v>876</v>
      </c>
      <c r="L189" s="148"/>
    </row>
    <row r="190" spans="1:12" s="149" customFormat="1" ht="12">
      <c r="A190" s="143" t="s">
        <v>871</v>
      </c>
      <c r="B190" s="144">
        <v>44</v>
      </c>
      <c r="C190" s="143"/>
      <c r="D190" s="143"/>
      <c r="E190" s="145"/>
      <c r="F190" s="146" t="str">
        <f t="shared" si="2"/>
        <v>E.44</v>
      </c>
      <c r="G190" s="147" t="s">
        <v>897</v>
      </c>
      <c r="H190" s="146" t="str">
        <f>VLOOKUP(I190,[1]Scheme!D:F,3,0)</f>
        <v>E07.01</v>
      </c>
      <c r="I190" s="147" t="s">
        <v>897</v>
      </c>
      <c r="J190" s="146" t="str">
        <f>VLOOKUP(K190,[1]Scheme!B:C,2,0)</f>
        <v>E07</v>
      </c>
      <c r="K190" s="147" t="s">
        <v>898</v>
      </c>
      <c r="L190" s="148"/>
    </row>
    <row r="191" spans="1:12" s="149" customFormat="1" ht="12">
      <c r="A191" s="143" t="s">
        <v>871</v>
      </c>
      <c r="B191" s="144">
        <v>44</v>
      </c>
      <c r="C191" s="143"/>
      <c r="D191" s="143" t="s">
        <v>899</v>
      </c>
      <c r="E191" s="145"/>
      <c r="F191" s="146" t="str">
        <f t="shared" si="2"/>
        <v>E.44.ORE</v>
      </c>
      <c r="G191" s="147" t="s">
        <v>897</v>
      </c>
      <c r="H191" s="146" t="str">
        <f>VLOOKUP(I191,[1]Scheme!D:F,3,0)</f>
        <v>E07.01</v>
      </c>
      <c r="I191" s="147" t="s">
        <v>897</v>
      </c>
      <c r="J191" s="146" t="str">
        <f>VLOOKUP(K191,[1]Scheme!B:C,2,0)</f>
        <v>E07</v>
      </c>
      <c r="K191" s="147" t="s">
        <v>898</v>
      </c>
      <c r="L191" s="148"/>
    </row>
    <row r="192" spans="1:12" s="149" customFormat="1" ht="12">
      <c r="A192" s="143" t="s">
        <v>871</v>
      </c>
      <c r="B192" s="144">
        <v>44</v>
      </c>
      <c r="C192" s="143"/>
      <c r="D192" s="143" t="s">
        <v>900</v>
      </c>
      <c r="E192" s="145"/>
      <c r="F192" s="146" t="str">
        <f t="shared" si="2"/>
        <v>E.44.AJU</v>
      </c>
      <c r="G192" s="147" t="s">
        <v>901</v>
      </c>
      <c r="H192" s="146" t="str">
        <f>VLOOKUP(I192,[1]Scheme!D:F,3,0)</f>
        <v>E07.02</v>
      </c>
      <c r="I192" s="147" t="s">
        <v>901</v>
      </c>
      <c r="J192" s="146" t="str">
        <f>VLOOKUP(K192,[1]Scheme!B:C,2,0)</f>
        <v>E07</v>
      </c>
      <c r="K192" s="147" t="s">
        <v>898</v>
      </c>
      <c r="L192" s="148"/>
    </row>
    <row r="193" spans="1:12" s="149" customFormat="1" ht="12">
      <c r="A193" s="143" t="s">
        <v>871</v>
      </c>
      <c r="B193" s="144">
        <v>44</v>
      </c>
      <c r="C193" s="143"/>
      <c r="D193" s="143" t="s">
        <v>902</v>
      </c>
      <c r="E193" s="145"/>
      <c r="F193" s="146" t="str">
        <f t="shared" si="2"/>
        <v>E.44.NCI.1</v>
      </c>
      <c r="G193" s="147" t="s">
        <v>903</v>
      </c>
      <c r="H193" s="146" t="str">
        <f>VLOOKUP(I193,[1]Scheme!D:F,3,0)</f>
        <v>E10.01</v>
      </c>
      <c r="I193" s="147" t="s">
        <v>904</v>
      </c>
      <c r="J193" s="146" t="str">
        <f>VLOOKUP(K193,[1]Scheme!B:C,2,0)</f>
        <v>E10</v>
      </c>
      <c r="K193" s="147" t="s">
        <v>905</v>
      </c>
      <c r="L193" s="148"/>
    </row>
    <row r="194" spans="1:12" s="149" customFormat="1" ht="12">
      <c r="A194" s="143" t="s">
        <v>871</v>
      </c>
      <c r="B194" s="144">
        <v>44</v>
      </c>
      <c r="C194" s="143"/>
      <c r="D194" s="143" t="s">
        <v>906</v>
      </c>
      <c r="E194" s="145"/>
      <c r="F194" s="146" t="str">
        <f t="shared" si="2"/>
        <v>E.44.NCI.2</v>
      </c>
      <c r="G194" s="147" t="s">
        <v>907</v>
      </c>
      <c r="H194" s="146" t="str">
        <f>VLOOKUP(I194,[1]Scheme!D:F,3,0)</f>
        <v>E10.02</v>
      </c>
      <c r="I194" s="147" t="s">
        <v>908</v>
      </c>
      <c r="J194" s="146" t="str">
        <f>VLOOKUP(K194,[1]Scheme!B:C,2,0)</f>
        <v>E10</v>
      </c>
      <c r="K194" s="147" t="s">
        <v>905</v>
      </c>
      <c r="L194" s="148"/>
    </row>
    <row r="195" spans="1:12" s="149" customFormat="1" ht="12">
      <c r="A195" s="143" t="s">
        <v>871</v>
      </c>
      <c r="B195" s="144">
        <v>44</v>
      </c>
      <c r="C195" s="143"/>
      <c r="D195" s="143" t="s">
        <v>909</v>
      </c>
      <c r="E195" s="145"/>
      <c r="F195" s="146" t="str">
        <f t="shared" si="2"/>
        <v>E.44.ExRt</v>
      </c>
      <c r="G195" s="147" t="s">
        <v>910</v>
      </c>
      <c r="H195" s="146" t="str">
        <f>VLOOKUP(I195,[1]Scheme!D:F,3,0)</f>
        <v>E06.06</v>
      </c>
      <c r="I195" s="147" t="s">
        <v>910</v>
      </c>
      <c r="J195" s="146" t="str">
        <f>VLOOKUP(K195,[1]Scheme!B:C,2,0)</f>
        <v>E06</v>
      </c>
      <c r="K195" s="147" t="s">
        <v>910</v>
      </c>
      <c r="L195" s="148"/>
    </row>
    <row r="196" spans="1:12" s="149" customFormat="1" ht="12">
      <c r="A196" s="143" t="s">
        <v>871</v>
      </c>
      <c r="B196" s="144">
        <v>45</v>
      </c>
      <c r="C196" s="143"/>
      <c r="D196" s="143"/>
      <c r="E196" s="145"/>
      <c r="F196" s="146" t="str">
        <f t="shared" si="2"/>
        <v>E.45</v>
      </c>
      <c r="G196" s="147" t="s">
        <v>911</v>
      </c>
      <c r="H196" s="146" t="str">
        <f>VLOOKUP(I196,[1]Scheme!D:F,3,0)</f>
        <v>E05.05</v>
      </c>
      <c r="I196" s="147" t="s">
        <v>911</v>
      </c>
      <c r="J196" s="146" t="str">
        <f>VLOOKUP(K196,[1]Scheme!B:C,2,0)</f>
        <v>E05</v>
      </c>
      <c r="K196" s="147" t="s">
        <v>911</v>
      </c>
      <c r="L196" s="148"/>
    </row>
    <row r="197" spans="1:12" s="149" customFormat="1" ht="12">
      <c r="A197" s="143" t="s">
        <v>871</v>
      </c>
      <c r="B197" s="144">
        <v>46</v>
      </c>
      <c r="C197" s="143"/>
      <c r="D197" s="143"/>
      <c r="E197" s="145"/>
      <c r="F197" s="146" t="str">
        <f t="shared" si="2"/>
        <v>E.46</v>
      </c>
      <c r="G197" s="147" t="s">
        <v>912</v>
      </c>
      <c r="H197" s="146" t="str">
        <f>VLOOKUP(I197,[1]Scheme!D:F,3,0)</f>
        <v>A12.05</v>
      </c>
      <c r="I197" s="147" t="s">
        <v>913</v>
      </c>
      <c r="J197" s="146" t="str">
        <f>VLOOKUP(K197,[1]Scheme!B:C,2,0)</f>
        <v>A12</v>
      </c>
      <c r="K197" s="147" t="s">
        <v>824</v>
      </c>
      <c r="L197" s="148"/>
    </row>
    <row r="198" spans="1:12" s="149" customFormat="1" ht="12">
      <c r="A198" s="143" t="s">
        <v>832</v>
      </c>
      <c r="B198" s="144">
        <v>47</v>
      </c>
      <c r="C198" s="143"/>
      <c r="D198" s="143"/>
      <c r="E198" s="145"/>
      <c r="F198" s="146" t="str">
        <f t="shared" si="2"/>
        <v>L.47</v>
      </c>
      <c r="G198" s="147" t="s">
        <v>914</v>
      </c>
      <c r="H198" s="146" t="str">
        <f>VLOOKUP(I198,[1]Scheme!D:F,3,0)</f>
        <v>L10.04</v>
      </c>
      <c r="I198" s="147" t="s">
        <v>915</v>
      </c>
      <c r="J198" s="146" t="str">
        <f>VLOOKUP(K198,[1]Scheme!B:C,2,0)</f>
        <v>L10</v>
      </c>
      <c r="K198" s="147" t="s">
        <v>834</v>
      </c>
      <c r="L198" s="148"/>
    </row>
    <row r="199" spans="1:12" s="149" customFormat="1" ht="12">
      <c r="A199" s="143" t="s">
        <v>832</v>
      </c>
      <c r="B199" s="144">
        <v>47</v>
      </c>
      <c r="C199" s="143" t="s">
        <v>653</v>
      </c>
      <c r="D199" s="143"/>
      <c r="E199" s="145"/>
      <c r="F199" s="146" t="str">
        <f t="shared" si="2"/>
        <v>L.471</v>
      </c>
      <c r="G199" s="147" t="s">
        <v>916</v>
      </c>
      <c r="H199" s="146" t="str">
        <f>VLOOKUP(I199,[1]Scheme!D:F,3,0)</f>
        <v>L04.01</v>
      </c>
      <c r="I199" s="147" t="s">
        <v>917</v>
      </c>
      <c r="J199" s="146" t="str">
        <f>VLOOKUP(K199,[1]Scheme!B:C,2,0)</f>
        <v>L04</v>
      </c>
      <c r="K199" s="147" t="s">
        <v>918</v>
      </c>
      <c r="L199" s="148"/>
    </row>
    <row r="200" spans="1:12" s="149" customFormat="1" ht="12">
      <c r="A200" s="143" t="s">
        <v>832</v>
      </c>
      <c r="B200" s="144">
        <v>47</v>
      </c>
      <c r="C200" s="143" t="s">
        <v>658</v>
      </c>
      <c r="D200" s="143"/>
      <c r="E200" s="145"/>
      <c r="F200" s="146" t="str">
        <f t="shared" si="2"/>
        <v>L.472</v>
      </c>
      <c r="G200" s="147" t="s">
        <v>919</v>
      </c>
      <c r="H200" s="146" t="str">
        <f>VLOOKUP(I200,[1]Scheme!D:F,3,0)</f>
        <v>L10.04</v>
      </c>
      <c r="I200" s="147" t="s">
        <v>915</v>
      </c>
      <c r="J200" s="146" t="str">
        <f>VLOOKUP(K200,[1]Scheme!B:C,2,0)</f>
        <v>L10</v>
      </c>
      <c r="K200" s="147" t="s">
        <v>834</v>
      </c>
      <c r="L200" s="148"/>
    </row>
    <row r="201" spans="1:12" s="149" customFormat="1" ht="12">
      <c r="A201" s="143" t="s">
        <v>832</v>
      </c>
      <c r="B201" s="144">
        <v>47</v>
      </c>
      <c r="C201" s="143" t="s">
        <v>660</v>
      </c>
      <c r="D201" s="143"/>
      <c r="E201" s="145"/>
      <c r="F201" s="146" t="str">
        <f t="shared" si="2"/>
        <v>L.473</v>
      </c>
      <c r="G201" s="147" t="s">
        <v>920</v>
      </c>
      <c r="H201" s="146" t="str">
        <f>VLOOKUP(I201,[1]Scheme!D:F,3,0)</f>
        <v>L10.04</v>
      </c>
      <c r="I201" s="147" t="s">
        <v>915</v>
      </c>
      <c r="J201" s="146" t="str">
        <f>VLOOKUP(K201,[1]Scheme!B:C,2,0)</f>
        <v>L10</v>
      </c>
      <c r="K201" s="147" t="s">
        <v>834</v>
      </c>
      <c r="L201" s="148"/>
    </row>
    <row r="202" spans="1:12" s="149" customFormat="1" ht="12">
      <c r="A202" s="143" t="s">
        <v>832</v>
      </c>
      <c r="B202" s="144">
        <v>47</v>
      </c>
      <c r="C202" s="143" t="s">
        <v>662</v>
      </c>
      <c r="D202" s="143"/>
      <c r="E202" s="145"/>
      <c r="F202" s="146" t="str">
        <f t="shared" si="2"/>
        <v>L.474</v>
      </c>
      <c r="G202" s="147" t="s">
        <v>921</v>
      </c>
      <c r="H202" s="146" t="str">
        <f>VLOOKUP(I202,[1]Scheme!D:F,3,0)</f>
        <v>L10.04</v>
      </c>
      <c r="I202" s="147" t="s">
        <v>915</v>
      </c>
      <c r="J202" s="146" t="str">
        <f>VLOOKUP(K202,[1]Scheme!B:C,2,0)</f>
        <v>L10</v>
      </c>
      <c r="K202" s="147" t="s">
        <v>834</v>
      </c>
      <c r="L202" s="148"/>
    </row>
    <row r="203" spans="1:12" s="149" customFormat="1" ht="12">
      <c r="A203" s="143" t="s">
        <v>832</v>
      </c>
      <c r="B203" s="144">
        <v>47</v>
      </c>
      <c r="C203" s="143" t="s">
        <v>668</v>
      </c>
      <c r="D203" s="143"/>
      <c r="E203" s="145"/>
      <c r="F203" s="146" t="str">
        <f t="shared" si="2"/>
        <v>L.475</v>
      </c>
      <c r="G203" s="147" t="s">
        <v>922</v>
      </c>
      <c r="H203" s="146" t="str">
        <f>VLOOKUP(I203,[1]Scheme!D:F,3,0)</f>
        <v>L10.04</v>
      </c>
      <c r="I203" s="147" t="s">
        <v>915</v>
      </c>
      <c r="J203" s="146" t="str">
        <f>VLOOKUP(K203,[1]Scheme!B:C,2,0)</f>
        <v>L10</v>
      </c>
      <c r="K203" s="147" t="s">
        <v>834</v>
      </c>
      <c r="L203" s="148"/>
    </row>
    <row r="204" spans="1:12" s="149" customFormat="1" ht="12">
      <c r="A204" s="143" t="s">
        <v>832</v>
      </c>
      <c r="B204" s="144">
        <v>47</v>
      </c>
      <c r="C204" s="143" t="s">
        <v>670</v>
      </c>
      <c r="D204" s="143"/>
      <c r="E204" s="145"/>
      <c r="F204" s="146" t="str">
        <f t="shared" si="2"/>
        <v>L.476</v>
      </c>
      <c r="G204" s="147" t="s">
        <v>923</v>
      </c>
      <c r="H204" s="146" t="str">
        <f>VLOOKUP(I204,[1]Scheme!D:F,3,0)</f>
        <v>L10.04</v>
      </c>
      <c r="I204" s="147" t="s">
        <v>915</v>
      </c>
      <c r="J204" s="146" t="str">
        <f>VLOOKUP(K204,[1]Scheme!B:C,2,0)</f>
        <v>L10</v>
      </c>
      <c r="K204" s="147" t="s">
        <v>834</v>
      </c>
      <c r="L204" s="148"/>
    </row>
    <row r="205" spans="1:12" s="149" customFormat="1" ht="12">
      <c r="A205" s="143" t="s">
        <v>832</v>
      </c>
      <c r="B205" s="144">
        <v>50</v>
      </c>
      <c r="C205" s="143"/>
      <c r="D205" s="143"/>
      <c r="E205" s="145"/>
      <c r="F205" s="146" t="str">
        <f t="shared" ref="F205:F239" si="3">CONCATENATE(A205,".",B205&amp;C205,IF(D205="","",CONCATENATE(".",D205)))</f>
        <v>L.50</v>
      </c>
      <c r="G205" s="147" t="s">
        <v>924</v>
      </c>
      <c r="H205" s="146" t="e">
        <f>VLOOKUP(I205,[1]Scheme!D:F,3,0)</f>
        <v>#N/A</v>
      </c>
      <c r="I205" s="147" t="s">
        <v>924</v>
      </c>
      <c r="J205" s="146" t="str">
        <f>VLOOKUP(K205,[1]Scheme!B:C,2,0)</f>
        <v>L01</v>
      </c>
      <c r="K205" s="147" t="s">
        <v>925</v>
      </c>
      <c r="L205" s="148"/>
    </row>
    <row r="206" spans="1:12" s="149" customFormat="1" ht="12">
      <c r="A206" s="143" t="s">
        <v>832</v>
      </c>
      <c r="B206" s="144">
        <v>50</v>
      </c>
      <c r="C206" s="143" t="s">
        <v>653</v>
      </c>
      <c r="D206" s="143"/>
      <c r="E206" s="145"/>
      <c r="F206" s="146" t="str">
        <f t="shared" si="3"/>
        <v>L.501</v>
      </c>
      <c r="G206" s="147" t="s">
        <v>926</v>
      </c>
      <c r="H206" s="146" t="str">
        <f>VLOOKUP(I206,[1]Scheme!D:F,3,0)</f>
        <v>L01.01</v>
      </c>
      <c r="I206" s="147" t="s">
        <v>927</v>
      </c>
      <c r="J206" s="146" t="str">
        <f>VLOOKUP(K206,[1]Scheme!B:C,2,0)</f>
        <v>L01</v>
      </c>
      <c r="K206" s="147" t="s">
        <v>925</v>
      </c>
      <c r="L206" s="148"/>
    </row>
    <row r="207" spans="1:12" s="149" customFormat="1" ht="12">
      <c r="A207" s="143" t="s">
        <v>832</v>
      </c>
      <c r="B207" s="144">
        <v>50</v>
      </c>
      <c r="C207" s="143" t="s">
        <v>658</v>
      </c>
      <c r="D207" s="143"/>
      <c r="E207" s="145"/>
      <c r="F207" s="146" t="str">
        <f t="shared" si="3"/>
        <v>L.502</v>
      </c>
      <c r="G207" s="147" t="s">
        <v>928</v>
      </c>
      <c r="H207" s="146" t="str">
        <f>VLOOKUP(I207,[1]Scheme!D:F,3,0)</f>
        <v>L01.01</v>
      </c>
      <c r="I207" s="147" t="s">
        <v>927</v>
      </c>
      <c r="J207" s="146" t="str">
        <f>VLOOKUP(K207,[1]Scheme!B:C,2,0)</f>
        <v>L01</v>
      </c>
      <c r="K207" s="147" t="s">
        <v>925</v>
      </c>
      <c r="L207" s="148"/>
    </row>
    <row r="208" spans="1:12" s="149" customFormat="1" ht="12">
      <c r="A208" s="143" t="s">
        <v>832</v>
      </c>
      <c r="B208" s="144">
        <v>50</v>
      </c>
      <c r="C208" s="143" t="s">
        <v>658</v>
      </c>
      <c r="D208" s="143" t="s">
        <v>692</v>
      </c>
      <c r="E208" s="145"/>
      <c r="F208" s="146" t="str">
        <f t="shared" si="3"/>
        <v>L.502.01</v>
      </c>
      <c r="G208" s="147" t="s">
        <v>929</v>
      </c>
      <c r="H208" s="146" t="str">
        <f>VLOOKUP(I208,[1]Scheme!D:F,3,0)</f>
        <v>L01.01</v>
      </c>
      <c r="I208" s="147" t="s">
        <v>927</v>
      </c>
      <c r="J208" s="146" t="str">
        <f>VLOOKUP(K208,[1]Scheme!B:C,2,0)</f>
        <v>L01</v>
      </c>
      <c r="K208" s="147" t="s">
        <v>925</v>
      </c>
      <c r="L208" s="148"/>
    </row>
    <row r="209" spans="1:12" s="149" customFormat="1" ht="12">
      <c r="A209" s="143" t="s">
        <v>832</v>
      </c>
      <c r="B209" s="144">
        <v>50</v>
      </c>
      <c r="C209" s="143" t="s">
        <v>658</v>
      </c>
      <c r="D209" s="143" t="s">
        <v>698</v>
      </c>
      <c r="E209" s="145"/>
      <c r="F209" s="146" t="str">
        <f t="shared" si="3"/>
        <v>L.502.02</v>
      </c>
      <c r="G209" s="147" t="s">
        <v>930</v>
      </c>
      <c r="H209" s="146" t="str">
        <f>VLOOKUP(I209,[1]Scheme!D:F,3,0)</f>
        <v>L01.01</v>
      </c>
      <c r="I209" s="147" t="s">
        <v>927</v>
      </c>
      <c r="J209" s="146" t="str">
        <f>VLOOKUP(K209,[1]Scheme!B:C,2,0)</f>
        <v>L01</v>
      </c>
      <c r="K209" s="147" t="s">
        <v>925</v>
      </c>
      <c r="L209" s="148"/>
    </row>
    <row r="210" spans="1:12" s="149" customFormat="1" ht="12">
      <c r="A210" s="143" t="s">
        <v>832</v>
      </c>
      <c r="B210" s="144">
        <v>50</v>
      </c>
      <c r="C210" s="143" t="s">
        <v>658</v>
      </c>
      <c r="D210" s="143" t="s">
        <v>700</v>
      </c>
      <c r="E210" s="145"/>
      <c r="F210" s="146" t="str">
        <f t="shared" si="3"/>
        <v>L.502.03</v>
      </c>
      <c r="G210" s="147" t="s">
        <v>931</v>
      </c>
      <c r="H210" s="146" t="str">
        <f>VLOOKUP(I210,[1]Scheme!D:F,3,0)</f>
        <v>L01.01</v>
      </c>
      <c r="I210" s="147" t="s">
        <v>927</v>
      </c>
      <c r="J210" s="146" t="str">
        <f>VLOOKUP(K210,[1]Scheme!B:C,2,0)</f>
        <v>L01</v>
      </c>
      <c r="K210" s="147" t="s">
        <v>925</v>
      </c>
      <c r="L210" s="148"/>
    </row>
    <row r="211" spans="1:12" s="149" customFormat="1" ht="12">
      <c r="A211" s="143" t="s">
        <v>832</v>
      </c>
      <c r="B211" s="144">
        <v>50</v>
      </c>
      <c r="C211" s="143" t="s">
        <v>660</v>
      </c>
      <c r="D211" s="143"/>
      <c r="E211" s="145"/>
      <c r="F211" s="146" t="str">
        <f t="shared" si="3"/>
        <v>L.503</v>
      </c>
      <c r="G211" s="147" t="s">
        <v>932</v>
      </c>
      <c r="H211" s="146" t="str">
        <f>VLOOKUP(I211,[1]Scheme!D:F,3,0)</f>
        <v>L01.01</v>
      </c>
      <c r="I211" s="147" t="s">
        <v>927</v>
      </c>
      <c r="J211" s="146" t="str">
        <f>VLOOKUP(K211,[1]Scheme!B:C,2,0)</f>
        <v>L01</v>
      </c>
      <c r="K211" s="147" t="s">
        <v>925</v>
      </c>
      <c r="L211" s="148"/>
    </row>
    <row r="212" spans="1:12" s="149" customFormat="1" ht="12">
      <c r="A212" s="143" t="s">
        <v>832</v>
      </c>
      <c r="B212" s="144">
        <v>50</v>
      </c>
      <c r="C212" s="143" t="s">
        <v>662</v>
      </c>
      <c r="D212" s="143"/>
      <c r="E212" s="145"/>
      <c r="F212" s="146" t="str">
        <f t="shared" si="3"/>
        <v>L.504</v>
      </c>
      <c r="G212" s="147" t="s">
        <v>933</v>
      </c>
      <c r="H212" s="146" t="str">
        <f>VLOOKUP(I212,[1]Scheme!D:F,3,0)</f>
        <v>L01.01</v>
      </c>
      <c r="I212" s="147" t="s">
        <v>927</v>
      </c>
      <c r="J212" s="146" t="str">
        <f>VLOOKUP(K212,[1]Scheme!B:C,2,0)</f>
        <v>L01</v>
      </c>
      <c r="K212" s="147" t="s">
        <v>925</v>
      </c>
      <c r="L212" s="148"/>
    </row>
    <row r="213" spans="1:12" s="149" customFormat="1" ht="12">
      <c r="A213" s="143" t="s">
        <v>832</v>
      </c>
      <c r="B213" s="144">
        <v>50</v>
      </c>
      <c r="C213" s="143" t="s">
        <v>668</v>
      </c>
      <c r="D213" s="143"/>
      <c r="E213" s="145"/>
      <c r="F213" s="146" t="str">
        <f t="shared" si="3"/>
        <v>L.505</v>
      </c>
      <c r="G213" s="147" t="s">
        <v>934</v>
      </c>
      <c r="H213" s="146" t="str">
        <f>VLOOKUP(I213,[1]Scheme!D:F,3,0)</f>
        <v>L02.02</v>
      </c>
      <c r="I213" s="147" t="s">
        <v>935</v>
      </c>
      <c r="J213" s="146" t="str">
        <f>VLOOKUP(K213,[1]Scheme!B:C,2,0)</f>
        <v>L02</v>
      </c>
      <c r="K213" s="147" t="s">
        <v>936</v>
      </c>
      <c r="L213" s="148"/>
    </row>
    <row r="214" spans="1:12" s="149" customFormat="1" ht="12">
      <c r="A214" s="143" t="s">
        <v>832</v>
      </c>
      <c r="B214" s="144">
        <v>50</v>
      </c>
      <c r="C214" s="143" t="s">
        <v>670</v>
      </c>
      <c r="D214" s="143"/>
      <c r="E214" s="145"/>
      <c r="F214" s="146" t="str">
        <f t="shared" si="3"/>
        <v>L.506</v>
      </c>
      <c r="G214" s="147" t="s">
        <v>937</v>
      </c>
      <c r="H214" s="146" t="str">
        <f>VLOOKUP(I214,[1]Scheme!D:F,3,0)</f>
        <v>L02.02</v>
      </c>
      <c r="I214" s="147" t="s">
        <v>935</v>
      </c>
      <c r="J214" s="146" t="str">
        <f>VLOOKUP(K214,[1]Scheme!B:C,2,0)</f>
        <v>L02</v>
      </c>
      <c r="K214" s="147" t="s">
        <v>936</v>
      </c>
      <c r="L214" s="148"/>
    </row>
    <row r="215" spans="1:12" s="149" customFormat="1" ht="12">
      <c r="A215" s="143" t="s">
        <v>832</v>
      </c>
      <c r="B215" s="144">
        <v>50</v>
      </c>
      <c r="C215" s="143" t="s">
        <v>670</v>
      </c>
      <c r="D215" s="143" t="s">
        <v>692</v>
      </c>
      <c r="E215" s="145"/>
      <c r="F215" s="146" t="str">
        <f t="shared" si="3"/>
        <v>L.506.01</v>
      </c>
      <c r="G215" s="147" t="s">
        <v>938</v>
      </c>
      <c r="H215" s="146" t="str">
        <f>VLOOKUP(I215,[1]Scheme!D:F,3,0)</f>
        <v>L02.02</v>
      </c>
      <c r="I215" s="147" t="s">
        <v>935</v>
      </c>
      <c r="J215" s="146" t="str">
        <f>VLOOKUP(K215,[1]Scheme!B:C,2,0)</f>
        <v>L02</v>
      </c>
      <c r="K215" s="147" t="s">
        <v>936</v>
      </c>
      <c r="L215" s="148"/>
    </row>
    <row r="216" spans="1:12" s="149" customFormat="1" ht="12">
      <c r="A216" s="143" t="s">
        <v>832</v>
      </c>
      <c r="B216" s="144">
        <v>50</v>
      </c>
      <c r="C216" s="143" t="s">
        <v>670</v>
      </c>
      <c r="D216" s="143" t="s">
        <v>698</v>
      </c>
      <c r="E216" s="145"/>
      <c r="F216" s="146" t="str">
        <f t="shared" si="3"/>
        <v>L.506.02</v>
      </c>
      <c r="G216" s="147" t="s">
        <v>939</v>
      </c>
      <c r="H216" s="146" t="str">
        <f>VLOOKUP(I216,[1]Scheme!D:F,3,0)</f>
        <v>L02.02</v>
      </c>
      <c r="I216" s="147" t="s">
        <v>935</v>
      </c>
      <c r="J216" s="146" t="str">
        <f>VLOOKUP(K216,[1]Scheme!B:C,2,0)</f>
        <v>L02</v>
      </c>
      <c r="K216" s="147" t="s">
        <v>936</v>
      </c>
      <c r="L216" s="148"/>
    </row>
    <row r="217" spans="1:12" s="149" customFormat="1" ht="12">
      <c r="A217" s="143" t="s">
        <v>832</v>
      </c>
      <c r="B217" s="144">
        <v>50</v>
      </c>
      <c r="C217" s="143" t="s">
        <v>670</v>
      </c>
      <c r="D217" s="143" t="s">
        <v>700</v>
      </c>
      <c r="E217" s="145"/>
      <c r="F217" s="146" t="str">
        <f>CONCATENATE(A217,".",B217&amp;C217,IF(D217="","",CONCATENATE(".",D217)))</f>
        <v>L.506.03</v>
      </c>
      <c r="G217" s="147" t="s">
        <v>940</v>
      </c>
      <c r="H217" s="146" t="str">
        <f>VLOOKUP(I217,[1]Scheme!D:F,3,0)</f>
        <v>L02.02</v>
      </c>
      <c r="I217" s="147" t="s">
        <v>935</v>
      </c>
      <c r="J217" s="146" t="str">
        <f>VLOOKUP(K217,[1]Scheme!B:C,2,0)</f>
        <v>L02</v>
      </c>
      <c r="K217" s="147" t="s">
        <v>936</v>
      </c>
      <c r="L217" s="148"/>
    </row>
    <row r="218" spans="1:12" s="149" customFormat="1" ht="12">
      <c r="A218" s="143" t="s">
        <v>832</v>
      </c>
      <c r="B218" s="144">
        <v>50</v>
      </c>
      <c r="C218" s="143" t="s">
        <v>670</v>
      </c>
      <c r="D218" s="143" t="s">
        <v>706</v>
      </c>
      <c r="E218" s="145"/>
      <c r="F218" s="146" t="str">
        <f>CONCATENATE(A218,".",B218&amp;C218,IF(D218="","",CONCATENATE(".",D218)))</f>
        <v>L.506.04</v>
      </c>
      <c r="G218" s="147" t="s">
        <v>941</v>
      </c>
      <c r="H218" s="146" t="str">
        <f>VLOOKUP(I218,[1]Scheme!D:F,3,0)</f>
        <v>L02.02</v>
      </c>
      <c r="I218" s="147" t="s">
        <v>935</v>
      </c>
      <c r="J218" s="146" t="str">
        <f>VLOOKUP(K218,[1]Scheme!B:C,2,0)</f>
        <v>L02</v>
      </c>
      <c r="K218" s="147" t="s">
        <v>936</v>
      </c>
      <c r="L218" s="148"/>
    </row>
    <row r="219" spans="1:12" s="149" customFormat="1" ht="12">
      <c r="A219" s="143" t="s">
        <v>832</v>
      </c>
      <c r="B219" s="144">
        <v>50</v>
      </c>
      <c r="C219" s="143" t="s">
        <v>670</v>
      </c>
      <c r="D219" s="143" t="s">
        <v>708</v>
      </c>
      <c r="E219" s="145"/>
      <c r="F219" s="146" t="str">
        <f>CONCATENATE(A219,".",B219&amp;C219,IF(D219="","",CONCATENATE(".",D219)))</f>
        <v>L.506.05</v>
      </c>
      <c r="G219" s="147" t="s">
        <v>942</v>
      </c>
      <c r="H219" s="146" t="str">
        <f>VLOOKUP(I219,[1]Scheme!D:F,3,0)</f>
        <v>L02.02</v>
      </c>
      <c r="I219" s="147" t="s">
        <v>935</v>
      </c>
      <c r="J219" s="146" t="str">
        <f>VLOOKUP(K219,[1]Scheme!B:C,2,0)</f>
        <v>L02</v>
      </c>
      <c r="K219" s="147" t="s">
        <v>936</v>
      </c>
      <c r="L219" s="148"/>
    </row>
    <row r="220" spans="1:12" s="149" customFormat="1" ht="12">
      <c r="A220" s="143" t="s">
        <v>832</v>
      </c>
      <c r="B220" s="144">
        <v>51</v>
      </c>
      <c r="C220" s="143"/>
      <c r="D220" s="143"/>
      <c r="E220" s="145"/>
      <c r="F220" s="146" t="str">
        <f t="shared" si="3"/>
        <v>L.51</v>
      </c>
      <c r="G220" s="147" t="s">
        <v>943</v>
      </c>
      <c r="H220" s="146" t="str">
        <f>VLOOKUP(I220,[1]Scheme!D:F,3,0)</f>
        <v>L02.01</v>
      </c>
      <c r="I220" s="147" t="s">
        <v>936</v>
      </c>
      <c r="J220" s="146" t="str">
        <f>VLOOKUP(K220,[1]Scheme!B:C,2,0)</f>
        <v>L02</v>
      </c>
      <c r="K220" s="147" t="s">
        <v>936</v>
      </c>
      <c r="L220" s="148"/>
    </row>
    <row r="221" spans="1:12" s="149" customFormat="1" ht="12">
      <c r="A221" s="143" t="s">
        <v>832</v>
      </c>
      <c r="B221" s="144">
        <v>54</v>
      </c>
      <c r="C221" s="143"/>
      <c r="D221" s="143"/>
      <c r="E221" s="145"/>
      <c r="F221" s="146" t="str">
        <f t="shared" si="3"/>
        <v>L.54</v>
      </c>
      <c r="G221" s="147" t="s">
        <v>944</v>
      </c>
      <c r="H221" s="146" t="str">
        <f>VLOOKUP(I221,[1]Scheme!D:F,3,0)</f>
        <v>L05.01</v>
      </c>
      <c r="I221" s="147" t="s">
        <v>944</v>
      </c>
      <c r="J221" s="146" t="str">
        <f>VLOOKUP(K221,[1]Scheme!B:C,2,0)</f>
        <v>L05</v>
      </c>
      <c r="K221" s="147" t="s">
        <v>944</v>
      </c>
      <c r="L221" s="148"/>
    </row>
    <row r="222" spans="1:12" s="149" customFormat="1" ht="12">
      <c r="A222" s="143" t="s">
        <v>832</v>
      </c>
      <c r="B222" s="144">
        <v>54</v>
      </c>
      <c r="C222" s="143"/>
      <c r="D222" s="143" t="s">
        <v>692</v>
      </c>
      <c r="E222" s="145"/>
      <c r="F222" s="146" t="str">
        <f t="shared" si="3"/>
        <v>L.54.01</v>
      </c>
      <c r="G222" s="147" t="s">
        <v>945</v>
      </c>
      <c r="H222" s="146" t="str">
        <f>VLOOKUP(I222,[1]Scheme!D:F,3,0)</f>
        <v>L05.01</v>
      </c>
      <c r="I222" s="147" t="s">
        <v>944</v>
      </c>
      <c r="J222" s="146" t="str">
        <f>VLOOKUP(K222,[1]Scheme!B:C,2,0)</f>
        <v>L05</v>
      </c>
      <c r="K222" s="147" t="s">
        <v>944</v>
      </c>
      <c r="L222" s="148"/>
    </row>
    <row r="223" spans="1:12" s="149" customFormat="1" ht="12">
      <c r="A223" s="143" t="s">
        <v>832</v>
      </c>
      <c r="B223" s="144">
        <v>54</v>
      </c>
      <c r="C223" s="143"/>
      <c r="D223" s="143" t="s">
        <v>698</v>
      </c>
      <c r="E223" s="145"/>
      <c r="F223" s="146" t="str">
        <f t="shared" si="3"/>
        <v>L.54.02</v>
      </c>
      <c r="G223" s="147" t="s">
        <v>946</v>
      </c>
      <c r="H223" s="146" t="str">
        <f>VLOOKUP(I223,[1]Scheme!D:F,3,0)</f>
        <v>L05.01</v>
      </c>
      <c r="I223" s="147" t="s">
        <v>944</v>
      </c>
      <c r="J223" s="146" t="str">
        <f>VLOOKUP(K223,[1]Scheme!B:C,2,0)</f>
        <v>L05</v>
      </c>
      <c r="K223" s="147" t="s">
        <v>944</v>
      </c>
      <c r="L223" s="148"/>
    </row>
    <row r="224" spans="1:12" s="149" customFormat="1" ht="12">
      <c r="A224" s="143" t="s">
        <v>832</v>
      </c>
      <c r="B224" s="144">
        <v>55</v>
      </c>
      <c r="C224" s="143"/>
      <c r="D224" s="143"/>
      <c r="E224" s="145"/>
      <c r="F224" s="146" t="str">
        <f t="shared" si="3"/>
        <v>L.55</v>
      </c>
      <c r="G224" s="147" t="s">
        <v>936</v>
      </c>
      <c r="H224" s="146" t="str">
        <f>VLOOKUP(I224,[1]Scheme!D:F,3,0)</f>
        <v>L02.01</v>
      </c>
      <c r="I224" s="147" t="s">
        <v>936</v>
      </c>
      <c r="J224" s="146" t="str">
        <f>VLOOKUP(K224,[1]Scheme!B:C,2,0)</f>
        <v>L02</v>
      </c>
      <c r="K224" s="147" t="s">
        <v>936</v>
      </c>
      <c r="L224" s="148"/>
    </row>
    <row r="225" spans="1:12" s="149" customFormat="1" ht="12">
      <c r="A225" s="143" t="s">
        <v>832</v>
      </c>
      <c r="B225" s="144">
        <v>55</v>
      </c>
      <c r="C225" s="143"/>
      <c r="D225" s="143" t="s">
        <v>692</v>
      </c>
      <c r="E225" s="145"/>
      <c r="F225" s="146" t="str">
        <f>CONCATENATE(A225,".",B225&amp;C225,IF(D225="","",CONCATENATE(".",D225)))</f>
        <v>L.55.01</v>
      </c>
      <c r="G225" s="147" t="s">
        <v>947</v>
      </c>
      <c r="H225" s="146" t="str">
        <f>VLOOKUP(I225,[1]Scheme!D:F,3,0)</f>
        <v>L03.01</v>
      </c>
      <c r="I225" s="147" t="s">
        <v>948</v>
      </c>
      <c r="J225" s="146" t="str">
        <f>VLOOKUP(K225,[1]Scheme!B:C,2,0)</f>
        <v>L03</v>
      </c>
      <c r="K225" s="147" t="s">
        <v>948</v>
      </c>
      <c r="L225" s="148"/>
    </row>
    <row r="226" spans="1:12" s="149" customFormat="1" ht="12">
      <c r="A226" s="143" t="s">
        <v>832</v>
      </c>
      <c r="B226" s="144">
        <v>60</v>
      </c>
      <c r="C226" s="143"/>
      <c r="D226" s="143"/>
      <c r="E226" s="145"/>
      <c r="F226" s="146" t="str">
        <f t="shared" si="3"/>
        <v>L.60</v>
      </c>
      <c r="G226" s="147" t="s">
        <v>949</v>
      </c>
      <c r="H226" s="146" t="str">
        <f>VLOOKUP(I226,[1]Scheme!D:F,3,0)</f>
        <v>L06.04</v>
      </c>
      <c r="I226" s="147" t="s">
        <v>950</v>
      </c>
      <c r="J226" s="146" t="str">
        <f>VLOOKUP(K226,[1]Scheme!B:C,2,0)</f>
        <v>L06</v>
      </c>
      <c r="K226" s="147" t="s">
        <v>951</v>
      </c>
      <c r="L226" s="148"/>
    </row>
    <row r="227" spans="1:12" s="149" customFormat="1" ht="12">
      <c r="A227" s="143" t="s">
        <v>832</v>
      </c>
      <c r="B227" s="144">
        <v>60</v>
      </c>
      <c r="C227" s="143" t="s">
        <v>653</v>
      </c>
      <c r="D227" s="143"/>
      <c r="E227" s="145"/>
      <c r="F227" s="146" t="str">
        <f t="shared" si="3"/>
        <v>L.601</v>
      </c>
      <c r="G227" s="147" t="s">
        <v>952</v>
      </c>
      <c r="H227" s="146" t="str">
        <f>VLOOKUP(I227,[1]Scheme!D:F,3,0)</f>
        <v>L06.01</v>
      </c>
      <c r="I227" s="147" t="s">
        <v>953</v>
      </c>
      <c r="J227" s="146" t="str">
        <f>VLOOKUP(K227,[1]Scheme!B:C,2,0)</f>
        <v>L06</v>
      </c>
      <c r="K227" s="147" t="s">
        <v>951</v>
      </c>
      <c r="L227" s="148"/>
    </row>
    <row r="228" spans="1:12" s="149" customFormat="1" ht="12">
      <c r="A228" s="143" t="s">
        <v>832</v>
      </c>
      <c r="B228" s="144">
        <v>60</v>
      </c>
      <c r="C228" s="143" t="s">
        <v>658</v>
      </c>
      <c r="D228" s="143"/>
      <c r="E228" s="145"/>
      <c r="F228" s="146" t="str">
        <f t="shared" si="3"/>
        <v>L.602</v>
      </c>
      <c r="G228" s="147" t="s">
        <v>954</v>
      </c>
      <c r="H228" s="146" t="str">
        <f>VLOOKUP(I228,[1]Scheme!D:F,3,0)</f>
        <v>L06.01</v>
      </c>
      <c r="I228" s="147" t="s">
        <v>953</v>
      </c>
      <c r="J228" s="146" t="str">
        <f>VLOOKUP(K228,[1]Scheme!B:C,2,0)</f>
        <v>L06</v>
      </c>
      <c r="K228" s="147" t="s">
        <v>951</v>
      </c>
      <c r="L228" s="148"/>
    </row>
    <row r="229" spans="1:12" s="149" customFormat="1" ht="12">
      <c r="A229" s="143" t="s">
        <v>832</v>
      </c>
      <c r="B229" s="144">
        <v>60</v>
      </c>
      <c r="C229" s="143" t="s">
        <v>658</v>
      </c>
      <c r="D229" s="143" t="s">
        <v>692</v>
      </c>
      <c r="E229" s="145"/>
      <c r="F229" s="146" t="str">
        <f t="shared" si="3"/>
        <v>L.602.01</v>
      </c>
      <c r="G229" s="147" t="s">
        <v>955</v>
      </c>
      <c r="H229" s="146" t="str">
        <f>VLOOKUP(I229,[1]Scheme!D:F,3,0)</f>
        <v>L06.01</v>
      </c>
      <c r="I229" s="147" t="s">
        <v>953</v>
      </c>
      <c r="J229" s="146" t="str">
        <f>VLOOKUP(K229,[1]Scheme!B:C,2,0)</f>
        <v>L06</v>
      </c>
      <c r="K229" s="147" t="s">
        <v>951</v>
      </c>
      <c r="L229" s="148"/>
    </row>
    <row r="230" spans="1:12" s="149" customFormat="1" ht="12">
      <c r="A230" s="143" t="s">
        <v>832</v>
      </c>
      <c r="B230" s="144">
        <v>60</v>
      </c>
      <c r="C230" s="143" t="s">
        <v>658</v>
      </c>
      <c r="D230" s="143" t="s">
        <v>698</v>
      </c>
      <c r="E230" s="145"/>
      <c r="F230" s="146" t="str">
        <f t="shared" si="3"/>
        <v>L.602.02</v>
      </c>
      <c r="G230" s="147" t="s">
        <v>956</v>
      </c>
      <c r="H230" s="146" t="str">
        <f>VLOOKUP(I230,[1]Scheme!D:F,3,0)</f>
        <v>L06.01</v>
      </c>
      <c r="I230" s="147" t="s">
        <v>953</v>
      </c>
      <c r="J230" s="146" t="str">
        <f>VLOOKUP(K230,[1]Scheme!B:C,2,0)</f>
        <v>L06</v>
      </c>
      <c r="K230" s="147" t="s">
        <v>951</v>
      </c>
      <c r="L230" s="148"/>
    </row>
    <row r="231" spans="1:12" s="149" customFormat="1" ht="12">
      <c r="A231" s="143" t="s">
        <v>832</v>
      </c>
      <c r="B231" s="144">
        <v>60</v>
      </c>
      <c r="C231" s="143" t="s">
        <v>658</v>
      </c>
      <c r="D231" s="143" t="s">
        <v>700</v>
      </c>
      <c r="E231" s="145"/>
      <c r="F231" s="146" t="str">
        <f t="shared" si="3"/>
        <v>L.602.03</v>
      </c>
      <c r="G231" s="147" t="s">
        <v>957</v>
      </c>
      <c r="H231" s="146" t="str">
        <f>VLOOKUP(I231,[1]Scheme!D:F,3,0)</f>
        <v>L06.01</v>
      </c>
      <c r="I231" s="147" t="s">
        <v>953</v>
      </c>
      <c r="J231" s="146" t="str">
        <f>VLOOKUP(K231,[1]Scheme!B:C,2,0)</f>
        <v>L06</v>
      </c>
      <c r="K231" s="147" t="s">
        <v>951</v>
      </c>
      <c r="L231" s="148"/>
    </row>
    <row r="232" spans="1:12" s="149" customFormat="1" ht="12">
      <c r="A232" s="143" t="s">
        <v>832</v>
      </c>
      <c r="B232" s="144">
        <v>60</v>
      </c>
      <c r="C232" s="143" t="s">
        <v>660</v>
      </c>
      <c r="D232" s="143"/>
      <c r="E232" s="145"/>
      <c r="F232" s="146" t="str">
        <f t="shared" si="3"/>
        <v>L.603</v>
      </c>
      <c r="G232" s="147" t="s">
        <v>958</v>
      </c>
      <c r="H232" s="146" t="str">
        <f>VLOOKUP(I232,[1]Scheme!D:F,3,0)</f>
        <v>L06.01</v>
      </c>
      <c r="I232" s="147" t="s">
        <v>953</v>
      </c>
      <c r="J232" s="146" t="str">
        <f>VLOOKUP(K232,[1]Scheme!B:C,2,0)</f>
        <v>L06</v>
      </c>
      <c r="K232" s="147" t="s">
        <v>951</v>
      </c>
      <c r="L232" s="148"/>
    </row>
    <row r="233" spans="1:12" s="149" customFormat="1" ht="12">
      <c r="A233" s="143" t="s">
        <v>832</v>
      </c>
      <c r="B233" s="144">
        <v>60</v>
      </c>
      <c r="C233" s="143" t="s">
        <v>662</v>
      </c>
      <c r="D233" s="143"/>
      <c r="E233" s="145"/>
      <c r="F233" s="146" t="str">
        <f t="shared" si="3"/>
        <v>L.604</v>
      </c>
      <c r="G233" s="147" t="s">
        <v>959</v>
      </c>
      <c r="H233" s="146" t="str">
        <f>VLOOKUP(I233,[1]Scheme!D:F,3,0)</f>
        <v>L06.01</v>
      </c>
      <c r="I233" s="147" t="s">
        <v>953</v>
      </c>
      <c r="J233" s="146" t="str">
        <f>VLOOKUP(K233,[1]Scheme!B:C,2,0)</f>
        <v>L06</v>
      </c>
      <c r="K233" s="147" t="s">
        <v>951</v>
      </c>
      <c r="L233" s="148"/>
    </row>
    <row r="234" spans="1:12" s="149" customFormat="1" ht="12">
      <c r="A234" s="143" t="s">
        <v>832</v>
      </c>
      <c r="B234" s="144">
        <v>60</v>
      </c>
      <c r="C234" s="143" t="s">
        <v>668</v>
      </c>
      <c r="D234" s="143"/>
      <c r="E234" s="145"/>
      <c r="F234" s="146" t="str">
        <f t="shared" si="3"/>
        <v>L.605</v>
      </c>
      <c r="G234" s="147" t="s">
        <v>960</v>
      </c>
      <c r="H234" s="146" t="str">
        <f>VLOOKUP(I234,[1]Scheme!D:F,3,0)</f>
        <v>L06.01</v>
      </c>
      <c r="I234" s="147" t="s">
        <v>953</v>
      </c>
      <c r="J234" s="146" t="str">
        <f>VLOOKUP(K234,[1]Scheme!B:C,2,0)</f>
        <v>L06</v>
      </c>
      <c r="K234" s="147" t="s">
        <v>951</v>
      </c>
      <c r="L234" s="148"/>
    </row>
    <row r="235" spans="1:12" s="149" customFormat="1" ht="12">
      <c r="A235" s="143" t="s">
        <v>832</v>
      </c>
      <c r="B235" s="144">
        <v>60</v>
      </c>
      <c r="C235" s="143" t="s">
        <v>670</v>
      </c>
      <c r="D235" s="143"/>
      <c r="E235" s="145"/>
      <c r="F235" s="146" t="str">
        <f t="shared" si="3"/>
        <v>L.606</v>
      </c>
      <c r="G235" s="147" t="s">
        <v>961</v>
      </c>
      <c r="H235" s="146" t="str">
        <f>VLOOKUP(I235,[1]Scheme!D:F,3,0)</f>
        <v>L06.01</v>
      </c>
      <c r="I235" s="147" t="s">
        <v>953</v>
      </c>
      <c r="J235" s="146" t="str">
        <f>VLOOKUP(K235,[1]Scheme!B:C,2,0)</f>
        <v>L06</v>
      </c>
      <c r="K235" s="147" t="s">
        <v>951</v>
      </c>
      <c r="L235" s="148"/>
    </row>
    <row r="236" spans="1:12" s="149" customFormat="1" ht="12">
      <c r="A236" s="143" t="s">
        <v>832</v>
      </c>
      <c r="B236" s="144">
        <v>60</v>
      </c>
      <c r="C236" s="143" t="s">
        <v>681</v>
      </c>
      <c r="D236" s="143"/>
      <c r="E236" s="145"/>
      <c r="F236" s="146" t="str">
        <f t="shared" si="3"/>
        <v>L.607</v>
      </c>
      <c r="G236" s="147" t="s">
        <v>962</v>
      </c>
      <c r="H236" s="146" t="str">
        <f>VLOOKUP(I236,[1]Scheme!D:F,3,0)</f>
        <v>L06.02</v>
      </c>
      <c r="I236" s="147" t="s">
        <v>963</v>
      </c>
      <c r="J236" s="146" t="str">
        <f>VLOOKUP(K236,[1]Scheme!B:C,2,0)</f>
        <v>L06</v>
      </c>
      <c r="K236" s="147" t="s">
        <v>951</v>
      </c>
      <c r="L236" s="148"/>
    </row>
    <row r="237" spans="1:12" s="149" customFormat="1" ht="12">
      <c r="A237" s="143" t="s">
        <v>832</v>
      </c>
      <c r="B237" s="144">
        <v>60</v>
      </c>
      <c r="C237" s="143" t="s">
        <v>763</v>
      </c>
      <c r="D237" s="143"/>
      <c r="E237" s="145"/>
      <c r="F237" s="146" t="str">
        <f t="shared" si="3"/>
        <v>L.608</v>
      </c>
      <c r="G237" s="147" t="s">
        <v>964</v>
      </c>
      <c r="H237" s="146" t="str">
        <f>VLOOKUP(I237,[1]Scheme!D:F,3,0)</f>
        <v>L06.02</v>
      </c>
      <c r="I237" s="147" t="s">
        <v>963</v>
      </c>
      <c r="J237" s="146" t="str">
        <f>VLOOKUP(K237,[1]Scheme!B:C,2,0)</f>
        <v>L06</v>
      </c>
      <c r="K237" s="147" t="s">
        <v>951</v>
      </c>
      <c r="L237" s="148"/>
    </row>
    <row r="238" spans="1:12" s="149" customFormat="1" ht="12">
      <c r="A238" s="143" t="s">
        <v>832</v>
      </c>
      <c r="B238" s="144">
        <v>60</v>
      </c>
      <c r="C238" s="143" t="s">
        <v>763</v>
      </c>
      <c r="D238" s="143" t="s">
        <v>692</v>
      </c>
      <c r="E238" s="145"/>
      <c r="F238" s="146" t="str">
        <f t="shared" si="3"/>
        <v>L.608.01</v>
      </c>
      <c r="G238" s="147" t="s">
        <v>965</v>
      </c>
      <c r="H238" s="146" t="str">
        <f>VLOOKUP(I238,[1]Scheme!D:F,3,0)</f>
        <v>L06.02</v>
      </c>
      <c r="I238" s="147" t="s">
        <v>963</v>
      </c>
      <c r="J238" s="146" t="str">
        <f>VLOOKUP(K238,[1]Scheme!B:C,2,0)</f>
        <v>L06</v>
      </c>
      <c r="K238" s="147" t="s">
        <v>951</v>
      </c>
      <c r="L238" s="148"/>
    </row>
    <row r="239" spans="1:12" s="149" customFormat="1" ht="12">
      <c r="A239" s="143" t="s">
        <v>832</v>
      </c>
      <c r="B239" s="144">
        <v>60</v>
      </c>
      <c r="C239" s="143" t="s">
        <v>763</v>
      </c>
      <c r="D239" s="143" t="s">
        <v>698</v>
      </c>
      <c r="E239" s="145"/>
      <c r="F239" s="146" t="str">
        <f t="shared" si="3"/>
        <v>L.608.02</v>
      </c>
      <c r="G239" s="147" t="s">
        <v>966</v>
      </c>
      <c r="H239" s="146" t="str">
        <f>VLOOKUP(I239,[1]Scheme!D:F,3,0)</f>
        <v>L06.02</v>
      </c>
      <c r="I239" s="147" t="s">
        <v>963</v>
      </c>
      <c r="J239" s="146" t="str">
        <f>VLOOKUP(K239,[1]Scheme!B:C,2,0)</f>
        <v>L06</v>
      </c>
      <c r="K239" s="147" t="s">
        <v>951</v>
      </c>
      <c r="L239" s="148"/>
    </row>
    <row r="240" spans="1:12" s="149" customFormat="1" ht="12">
      <c r="A240" s="143" t="s">
        <v>832</v>
      </c>
      <c r="B240" s="144">
        <v>61</v>
      </c>
      <c r="C240" s="143"/>
      <c r="D240" s="143"/>
      <c r="E240" s="145"/>
      <c r="F240" s="146" t="str">
        <f>CONCATENATE(A240,".",B240&amp;C240,IF(D240="","",CONCATENATE(".",D240)))</f>
        <v>L.61</v>
      </c>
      <c r="G240" s="147" t="s">
        <v>967</v>
      </c>
      <c r="H240" s="146" t="str">
        <f>VLOOKUP(I240,[1]Scheme!D:F,3,0)</f>
        <v>L06.03</v>
      </c>
      <c r="I240" s="147" t="s">
        <v>968</v>
      </c>
      <c r="J240" s="146" t="str">
        <f>VLOOKUP(K240,[1]Scheme!B:C,2,0)</f>
        <v>L06</v>
      </c>
      <c r="K240" s="147" t="s">
        <v>951</v>
      </c>
      <c r="L240" s="148"/>
    </row>
    <row r="241" spans="1:12" s="149" customFormat="1" ht="12">
      <c r="A241" s="143" t="s">
        <v>832</v>
      </c>
      <c r="B241" s="144">
        <v>61</v>
      </c>
      <c r="C241" s="143" t="s">
        <v>653</v>
      </c>
      <c r="D241" s="143"/>
      <c r="E241" s="145"/>
      <c r="F241" s="146" t="str">
        <f>CONCATENATE(A241,".",B241&amp;C241,IF(D241="","",CONCATENATE(".",D241)))</f>
        <v>L.611</v>
      </c>
      <c r="G241" s="147" t="s">
        <v>969</v>
      </c>
      <c r="H241" s="146" t="str">
        <f>VLOOKUP(I241,[1]Scheme!D:F,3,0)</f>
        <v>L06.03</v>
      </c>
      <c r="I241" s="147" t="s">
        <v>968</v>
      </c>
      <c r="J241" s="146" t="str">
        <f>VLOOKUP(K241,[1]Scheme!B:C,2,0)</f>
        <v>L06</v>
      </c>
      <c r="K241" s="147" t="s">
        <v>951</v>
      </c>
      <c r="L241" s="148"/>
    </row>
    <row r="242" spans="1:12" s="149" customFormat="1" ht="12">
      <c r="A242" s="143" t="s">
        <v>832</v>
      </c>
      <c r="B242" s="144">
        <v>61</v>
      </c>
      <c r="C242" s="143" t="s">
        <v>653</v>
      </c>
      <c r="D242" s="143" t="s">
        <v>692</v>
      </c>
      <c r="E242" s="145"/>
      <c r="F242" s="146" t="str">
        <f>CONCATENATE(A242,".",B242&amp;C242,IF(D242="","",CONCATENATE(".",D242)))</f>
        <v>L.611.01</v>
      </c>
      <c r="G242" s="147" t="s">
        <v>970</v>
      </c>
      <c r="H242" s="146" t="str">
        <f>VLOOKUP(I242,[1]Scheme!D:F,3,0)</f>
        <v>L06.03</v>
      </c>
      <c r="I242" s="147" t="s">
        <v>968</v>
      </c>
      <c r="J242" s="146" t="str">
        <f>VLOOKUP(K242,[1]Scheme!B:C,2,0)</f>
        <v>L06</v>
      </c>
      <c r="K242" s="147" t="s">
        <v>951</v>
      </c>
      <c r="L242" s="148"/>
    </row>
    <row r="243" spans="1:12" s="149" customFormat="1" ht="12">
      <c r="A243" s="143" t="s">
        <v>832</v>
      </c>
      <c r="B243" s="144">
        <v>61</v>
      </c>
      <c r="C243" s="143" t="s">
        <v>658</v>
      </c>
      <c r="D243" s="143"/>
      <c r="E243" s="145"/>
      <c r="F243" s="146" t="str">
        <f t="shared" ref="F243:F306" si="4">CONCATENATE(A243,".",B243&amp;C243,IF(D243="","",CONCATENATE(".",D243)))</f>
        <v>L.612</v>
      </c>
      <c r="G243" s="147" t="s">
        <v>971</v>
      </c>
      <c r="H243" s="146" t="str">
        <f>VLOOKUP(I243,[1]Scheme!D:F,3,0)</f>
        <v>L06.03</v>
      </c>
      <c r="I243" s="147" t="s">
        <v>968</v>
      </c>
      <c r="J243" s="146" t="str">
        <f>VLOOKUP(K243,[1]Scheme!B:C,2,0)</f>
        <v>L06</v>
      </c>
      <c r="K243" s="147" t="s">
        <v>951</v>
      </c>
      <c r="L243" s="148"/>
    </row>
    <row r="244" spans="1:12" s="149" customFormat="1" ht="12">
      <c r="A244" s="143" t="s">
        <v>832</v>
      </c>
      <c r="B244" s="144">
        <v>61</v>
      </c>
      <c r="C244" s="143" t="s">
        <v>658</v>
      </c>
      <c r="D244" s="143" t="s">
        <v>692</v>
      </c>
      <c r="E244" s="145"/>
      <c r="F244" s="146" t="str">
        <f t="shared" si="4"/>
        <v>L.612.01</v>
      </c>
      <c r="G244" s="147" t="s">
        <v>972</v>
      </c>
      <c r="H244" s="146" t="str">
        <f>VLOOKUP(I244,[1]Scheme!D:F,3,0)</f>
        <v>L06.03</v>
      </c>
      <c r="I244" s="147" t="s">
        <v>968</v>
      </c>
      <c r="J244" s="146" t="str">
        <f>VLOOKUP(K244,[1]Scheme!B:C,2,0)</f>
        <v>L06</v>
      </c>
      <c r="K244" s="147" t="s">
        <v>951</v>
      </c>
      <c r="L244" s="148"/>
    </row>
    <row r="245" spans="1:12" s="149" customFormat="1" ht="12">
      <c r="A245" s="143" t="s">
        <v>832</v>
      </c>
      <c r="B245" s="144">
        <v>61</v>
      </c>
      <c r="C245" s="143" t="s">
        <v>658</v>
      </c>
      <c r="D245" s="143" t="s">
        <v>698</v>
      </c>
      <c r="E245" s="145"/>
      <c r="F245" s="146" t="str">
        <f t="shared" si="4"/>
        <v>L.612.02</v>
      </c>
      <c r="G245" s="147" t="s">
        <v>973</v>
      </c>
      <c r="H245" s="146" t="str">
        <f>VLOOKUP(I245,[1]Scheme!D:F,3,0)</f>
        <v>L06.03</v>
      </c>
      <c r="I245" s="147" t="s">
        <v>968</v>
      </c>
      <c r="J245" s="146" t="str">
        <f>VLOOKUP(K245,[1]Scheme!B:C,2,0)</f>
        <v>L06</v>
      </c>
      <c r="K245" s="147" t="s">
        <v>951</v>
      </c>
      <c r="L245" s="148"/>
    </row>
    <row r="246" spans="1:12" s="149" customFormat="1" ht="12">
      <c r="A246" s="143" t="s">
        <v>832</v>
      </c>
      <c r="B246" s="144">
        <v>62</v>
      </c>
      <c r="C246" s="143"/>
      <c r="D246" s="143"/>
      <c r="E246" s="145"/>
      <c r="F246" s="146" t="str">
        <f t="shared" si="4"/>
        <v>L.62</v>
      </c>
      <c r="G246" s="147" t="s">
        <v>974</v>
      </c>
      <c r="H246" s="146" t="str">
        <f>VLOOKUP(I246,[1]Scheme!D:F,3,0)</f>
        <v>L10.04</v>
      </c>
      <c r="I246" s="147" t="s">
        <v>915</v>
      </c>
      <c r="J246" s="146" t="str">
        <f>VLOOKUP(K246,[1]Scheme!B:C,2,0)</f>
        <v>L10</v>
      </c>
      <c r="K246" s="147" t="s">
        <v>834</v>
      </c>
      <c r="L246" s="148"/>
    </row>
    <row r="247" spans="1:12" s="149" customFormat="1" ht="12">
      <c r="A247" s="143" t="s">
        <v>832</v>
      </c>
      <c r="B247" s="144">
        <v>63</v>
      </c>
      <c r="C247" s="143"/>
      <c r="D247" s="143"/>
      <c r="E247" s="145"/>
      <c r="F247" s="146" t="str">
        <f t="shared" si="4"/>
        <v>L.63</v>
      </c>
      <c r="G247" s="147" t="s">
        <v>975</v>
      </c>
      <c r="H247" s="146" t="str">
        <f>VLOOKUP(I247,[1]Scheme!D:F,3,0)</f>
        <v>L08.01</v>
      </c>
      <c r="I247" s="147" t="s">
        <v>845</v>
      </c>
      <c r="J247" s="146" t="str">
        <f>VLOOKUP(K247,[1]Scheme!B:C,2,0)</f>
        <v>L08</v>
      </c>
      <c r="K247" s="147" t="s">
        <v>846</v>
      </c>
      <c r="L247" s="148"/>
    </row>
    <row r="248" spans="1:12" s="149" customFormat="1" ht="12">
      <c r="A248" s="143" t="s">
        <v>832</v>
      </c>
      <c r="B248" s="144">
        <v>63</v>
      </c>
      <c r="C248" s="143" t="s">
        <v>653</v>
      </c>
      <c r="D248" s="143"/>
      <c r="E248" s="145"/>
      <c r="F248" s="146" t="str">
        <f t="shared" si="4"/>
        <v>L.631</v>
      </c>
      <c r="G248" s="147" t="s">
        <v>976</v>
      </c>
      <c r="H248" s="146" t="str">
        <f>VLOOKUP(I248,[1]Scheme!D:F,3,0)</f>
        <v>L08.01</v>
      </c>
      <c r="I248" s="147" t="s">
        <v>845</v>
      </c>
      <c r="J248" s="146" t="str">
        <f>VLOOKUP(K248,[1]Scheme!B:C,2,0)</f>
        <v>L08</v>
      </c>
      <c r="K248" s="147" t="s">
        <v>846</v>
      </c>
      <c r="L248" s="148"/>
    </row>
    <row r="249" spans="1:12" s="149" customFormat="1" ht="12">
      <c r="A249" s="143" t="s">
        <v>832</v>
      </c>
      <c r="B249" s="144">
        <v>63</v>
      </c>
      <c r="C249" s="143" t="s">
        <v>653</v>
      </c>
      <c r="D249" s="143" t="s">
        <v>835</v>
      </c>
      <c r="E249" s="145"/>
      <c r="F249" s="146" t="str">
        <f t="shared" si="4"/>
        <v>L.631.RP</v>
      </c>
      <c r="G249" s="147" t="s">
        <v>977</v>
      </c>
      <c r="H249" s="146" t="str">
        <f>VLOOKUP(I249,[1]Scheme!D:F,3,0)</f>
        <v>L08.02</v>
      </c>
      <c r="I249" s="147" t="s">
        <v>978</v>
      </c>
      <c r="J249" s="146" t="str">
        <f>VLOOKUP(K249,[1]Scheme!B:C,2,0)</f>
        <v>L08</v>
      </c>
      <c r="K249" s="147" t="s">
        <v>846</v>
      </c>
      <c r="L249" s="148"/>
    </row>
    <row r="250" spans="1:12" s="149" customFormat="1" ht="12">
      <c r="A250" s="143" t="s">
        <v>832</v>
      </c>
      <c r="B250" s="144">
        <v>63</v>
      </c>
      <c r="C250" s="143" t="s">
        <v>658</v>
      </c>
      <c r="D250" s="143"/>
      <c r="E250" s="145"/>
      <c r="F250" s="146" t="str">
        <f t="shared" si="4"/>
        <v>L.632</v>
      </c>
      <c r="G250" s="147" t="s">
        <v>979</v>
      </c>
      <c r="H250" s="146" t="str">
        <f>VLOOKUP(I250,[1]Scheme!D:F,3,0)</f>
        <v>L08.01</v>
      </c>
      <c r="I250" s="147" t="s">
        <v>845</v>
      </c>
      <c r="J250" s="146" t="str">
        <f>VLOOKUP(K250,[1]Scheme!B:C,2,0)</f>
        <v>L08</v>
      </c>
      <c r="K250" s="147" t="s">
        <v>846</v>
      </c>
      <c r="L250" s="148"/>
    </row>
    <row r="251" spans="1:12" s="149" customFormat="1" ht="12">
      <c r="A251" s="143" t="s">
        <v>832</v>
      </c>
      <c r="B251" s="144">
        <v>63</v>
      </c>
      <c r="C251" s="143" t="s">
        <v>658</v>
      </c>
      <c r="D251" s="143" t="s">
        <v>835</v>
      </c>
      <c r="E251" s="145"/>
      <c r="F251" s="146" t="str">
        <f t="shared" si="4"/>
        <v>L.632.RP</v>
      </c>
      <c r="G251" s="147" t="s">
        <v>980</v>
      </c>
      <c r="H251" s="146" t="str">
        <f>VLOOKUP(I251,[1]Scheme!D:F,3,0)</f>
        <v>L08.02</v>
      </c>
      <c r="I251" s="147" t="s">
        <v>978</v>
      </c>
      <c r="J251" s="146" t="str">
        <f>VLOOKUP(K251,[1]Scheme!B:C,2,0)</f>
        <v>L08</v>
      </c>
      <c r="K251" s="147" t="s">
        <v>846</v>
      </c>
      <c r="L251" s="148"/>
    </row>
    <row r="252" spans="1:12" s="149" customFormat="1" ht="12">
      <c r="A252" s="143" t="s">
        <v>832</v>
      </c>
      <c r="B252" s="144">
        <v>63</v>
      </c>
      <c r="C252" s="143" t="s">
        <v>660</v>
      </c>
      <c r="D252" s="143"/>
      <c r="E252" s="145"/>
      <c r="F252" s="146" t="str">
        <f t="shared" si="4"/>
        <v>L.633</v>
      </c>
      <c r="G252" s="147" t="s">
        <v>841</v>
      </c>
      <c r="H252" s="146" t="str">
        <f>VLOOKUP(I252,[1]Scheme!D:F,3,0)</f>
        <v>L08.03</v>
      </c>
      <c r="I252" s="147" t="s">
        <v>853</v>
      </c>
      <c r="J252" s="146" t="str">
        <f>VLOOKUP(K252,[1]Scheme!B:C,2,0)</f>
        <v>L08</v>
      </c>
      <c r="K252" s="147" t="s">
        <v>846</v>
      </c>
      <c r="L252" s="148"/>
    </row>
    <row r="253" spans="1:12" s="149" customFormat="1" ht="12">
      <c r="A253" s="143" t="s">
        <v>832</v>
      </c>
      <c r="B253" s="144">
        <v>64</v>
      </c>
      <c r="C253" s="143"/>
      <c r="D253" s="143"/>
      <c r="E253" s="145"/>
      <c r="F253" s="146" t="str">
        <f t="shared" si="4"/>
        <v>L.64</v>
      </c>
      <c r="G253" s="147" t="s">
        <v>981</v>
      </c>
      <c r="H253" s="146" t="str">
        <f>VLOOKUP(I253,[1]Scheme!D:F,3,0)</f>
        <v>L10.03</v>
      </c>
      <c r="I253" s="147" t="s">
        <v>982</v>
      </c>
      <c r="J253" s="146" t="str">
        <f>VLOOKUP(K253,[1]Scheme!B:C,2,0)</f>
        <v>L10</v>
      </c>
      <c r="K253" s="147" t="s">
        <v>834</v>
      </c>
      <c r="L253" s="148"/>
    </row>
    <row r="254" spans="1:12" s="149" customFormat="1" ht="12">
      <c r="A254" s="143" t="s">
        <v>832</v>
      </c>
      <c r="B254" s="144">
        <v>64</v>
      </c>
      <c r="C254" s="143" t="s">
        <v>653</v>
      </c>
      <c r="D254" s="143"/>
      <c r="E254" s="145"/>
      <c r="F254" s="146" t="str">
        <f t="shared" si="4"/>
        <v>L.641</v>
      </c>
      <c r="G254" s="147" t="s">
        <v>983</v>
      </c>
      <c r="H254" s="146" t="str">
        <f>VLOOKUP(I254,[1]Scheme!D:F,3,0)</f>
        <v>L10.03</v>
      </c>
      <c r="I254" s="147" t="s">
        <v>982</v>
      </c>
      <c r="J254" s="146" t="str">
        <f>VLOOKUP(K254,[1]Scheme!B:C,2,0)</f>
        <v>L10</v>
      </c>
      <c r="K254" s="147" t="s">
        <v>834</v>
      </c>
      <c r="L254" s="148"/>
    </row>
    <row r="255" spans="1:12" s="149" customFormat="1" ht="12">
      <c r="A255" s="143" t="s">
        <v>650</v>
      </c>
      <c r="B255" s="144">
        <v>64</v>
      </c>
      <c r="C255" s="143" t="s">
        <v>653</v>
      </c>
      <c r="D255" s="143"/>
      <c r="E255" s="145"/>
      <c r="F255" s="146" t="str">
        <f t="shared" si="4"/>
        <v>A.641</v>
      </c>
      <c r="G255" s="147" t="s">
        <v>983</v>
      </c>
      <c r="H255" s="146" t="str">
        <f>VLOOKUP(I255,[1]Scheme!D:F,3,0)</f>
        <v>A15.02</v>
      </c>
      <c r="I255" s="147" t="s">
        <v>984</v>
      </c>
      <c r="J255" s="146" t="str">
        <f>VLOOKUP(K255,[1]Scheme!B:C,2,0)</f>
        <v>A15</v>
      </c>
      <c r="K255" s="147" t="s">
        <v>985</v>
      </c>
      <c r="L255" s="148"/>
    </row>
    <row r="256" spans="1:12" s="149" customFormat="1" ht="12">
      <c r="A256" s="143" t="s">
        <v>832</v>
      </c>
      <c r="B256" s="144">
        <v>64</v>
      </c>
      <c r="C256" s="143" t="s">
        <v>653</v>
      </c>
      <c r="D256" s="143" t="s">
        <v>692</v>
      </c>
      <c r="E256" s="145"/>
      <c r="F256" s="146" t="str">
        <f t="shared" si="4"/>
        <v>L.641.01</v>
      </c>
      <c r="G256" s="147" t="s">
        <v>986</v>
      </c>
      <c r="H256" s="146" t="str">
        <f>VLOOKUP(I256,[1]Scheme!D:F,3,0)</f>
        <v>L10.03</v>
      </c>
      <c r="I256" s="147" t="s">
        <v>982</v>
      </c>
      <c r="J256" s="146" t="str">
        <f>VLOOKUP(K256,[1]Scheme!B:C,2,0)</f>
        <v>L10</v>
      </c>
      <c r="K256" s="147" t="s">
        <v>834</v>
      </c>
      <c r="L256" s="148"/>
    </row>
    <row r="257" spans="1:12" s="149" customFormat="1" ht="12">
      <c r="A257" s="143" t="s">
        <v>832</v>
      </c>
      <c r="B257" s="144">
        <v>64</v>
      </c>
      <c r="C257" s="143" t="s">
        <v>653</v>
      </c>
      <c r="D257" s="143" t="s">
        <v>698</v>
      </c>
      <c r="E257" s="145"/>
      <c r="F257" s="146" t="str">
        <f t="shared" si="4"/>
        <v>L.641.02</v>
      </c>
      <c r="G257" s="147" t="s">
        <v>987</v>
      </c>
      <c r="H257" s="146" t="str">
        <f>VLOOKUP(I257,[1]Scheme!D:F,3,0)</f>
        <v>L10.03</v>
      </c>
      <c r="I257" s="147" t="s">
        <v>982</v>
      </c>
      <c r="J257" s="146" t="str">
        <f>VLOOKUP(K257,[1]Scheme!B:C,2,0)</f>
        <v>L10</v>
      </c>
      <c r="K257" s="147" t="s">
        <v>834</v>
      </c>
      <c r="L257" s="148"/>
    </row>
    <row r="258" spans="1:12" s="149" customFormat="1" ht="12">
      <c r="A258" s="143" t="s">
        <v>650</v>
      </c>
      <c r="B258" s="144">
        <v>64</v>
      </c>
      <c r="C258" s="143" t="s">
        <v>653</v>
      </c>
      <c r="D258" s="143" t="s">
        <v>698</v>
      </c>
      <c r="E258" s="145"/>
      <c r="F258" s="146" t="str">
        <f t="shared" si="4"/>
        <v>A.641.02</v>
      </c>
      <c r="G258" s="147" t="s">
        <v>987</v>
      </c>
      <c r="H258" s="146" t="str">
        <f>VLOOKUP(I258,[1]Scheme!D:F,3,0)</f>
        <v>A15.01</v>
      </c>
      <c r="I258" s="147" t="s">
        <v>988</v>
      </c>
      <c r="J258" s="146" t="str">
        <f>VLOOKUP(K258,[1]Scheme!B:C,2,0)</f>
        <v>A15</v>
      </c>
      <c r="K258" s="147" t="s">
        <v>985</v>
      </c>
      <c r="L258" s="148"/>
    </row>
    <row r="259" spans="1:12" s="149" customFormat="1" ht="12">
      <c r="A259" s="143" t="s">
        <v>832</v>
      </c>
      <c r="B259" s="144">
        <v>64</v>
      </c>
      <c r="C259" s="143" t="s">
        <v>653</v>
      </c>
      <c r="D259" s="143" t="s">
        <v>700</v>
      </c>
      <c r="E259" s="145"/>
      <c r="F259" s="146" t="str">
        <f t="shared" si="4"/>
        <v>L.641.03</v>
      </c>
      <c r="G259" s="147" t="s">
        <v>989</v>
      </c>
      <c r="H259" s="146" t="str">
        <f>VLOOKUP(I259,[1]Scheme!D:F,3,0)</f>
        <v>L09.01</v>
      </c>
      <c r="I259" s="147" t="s">
        <v>990</v>
      </c>
      <c r="J259" s="146" t="str">
        <f>VLOOKUP(K259,[1]Scheme!B:C,2,0)</f>
        <v>L09</v>
      </c>
      <c r="K259" s="147" t="s">
        <v>990</v>
      </c>
      <c r="L259" s="148"/>
    </row>
    <row r="260" spans="1:12" s="149" customFormat="1" ht="12">
      <c r="A260" s="143" t="s">
        <v>650</v>
      </c>
      <c r="B260" s="144">
        <v>64</v>
      </c>
      <c r="C260" s="143" t="s">
        <v>653</v>
      </c>
      <c r="D260" s="143" t="s">
        <v>700</v>
      </c>
      <c r="E260" s="145"/>
      <c r="F260" s="146" t="str">
        <f t="shared" si="4"/>
        <v>A.641.03</v>
      </c>
      <c r="G260" s="147" t="s">
        <v>989</v>
      </c>
      <c r="H260" s="146" t="str">
        <f>VLOOKUP(I260,[1]Scheme!D:F,3,0)</f>
        <v>A14.01</v>
      </c>
      <c r="I260" s="147" t="s">
        <v>991</v>
      </c>
      <c r="J260" s="146" t="str">
        <f>VLOOKUP(K260,[1]Scheme!B:C,2,0)</f>
        <v>A14</v>
      </c>
      <c r="K260" s="147" t="s">
        <v>991</v>
      </c>
      <c r="L260" s="148"/>
    </row>
    <row r="261" spans="1:12" s="149" customFormat="1" ht="12">
      <c r="A261" s="143" t="s">
        <v>832</v>
      </c>
      <c r="B261" s="144">
        <v>64</v>
      </c>
      <c r="C261" s="143" t="s">
        <v>653</v>
      </c>
      <c r="D261" s="143" t="s">
        <v>708</v>
      </c>
      <c r="E261" s="145"/>
      <c r="F261" s="146" t="str">
        <f t="shared" si="4"/>
        <v>L.641.05</v>
      </c>
      <c r="G261" s="147" t="s">
        <v>992</v>
      </c>
      <c r="H261" s="146" t="str">
        <f>VLOOKUP(I261,[1]Scheme!D:F,3,0)</f>
        <v>L10.03</v>
      </c>
      <c r="I261" s="147" t="s">
        <v>982</v>
      </c>
      <c r="J261" s="146" t="str">
        <f>VLOOKUP(K261,[1]Scheme!B:C,2,0)</f>
        <v>L10</v>
      </c>
      <c r="K261" s="147" t="s">
        <v>834</v>
      </c>
      <c r="L261" s="148"/>
    </row>
    <row r="262" spans="1:12" s="149" customFormat="1" ht="12">
      <c r="A262" s="143" t="s">
        <v>832</v>
      </c>
      <c r="B262" s="144">
        <v>64</v>
      </c>
      <c r="C262" s="143" t="s">
        <v>653</v>
      </c>
      <c r="D262" s="143" t="s">
        <v>811</v>
      </c>
      <c r="E262" s="145"/>
      <c r="F262" s="146" t="str">
        <f t="shared" si="4"/>
        <v>L.641.07</v>
      </c>
      <c r="G262" s="147" t="s">
        <v>993</v>
      </c>
      <c r="H262" s="146" t="str">
        <f>VLOOKUP(I262,[1]Scheme!D:F,3,0)</f>
        <v>L10.03</v>
      </c>
      <c r="I262" s="147" t="s">
        <v>982</v>
      </c>
      <c r="J262" s="146" t="str">
        <f>VLOOKUP(K262,[1]Scheme!B:C,2,0)</f>
        <v>L10</v>
      </c>
      <c r="K262" s="147" t="s">
        <v>834</v>
      </c>
      <c r="L262" s="148"/>
    </row>
    <row r="263" spans="1:12" s="149" customFormat="1" ht="12">
      <c r="A263" s="143" t="s">
        <v>832</v>
      </c>
      <c r="B263" s="144">
        <v>64</v>
      </c>
      <c r="C263" s="143" t="s">
        <v>653</v>
      </c>
      <c r="D263" s="143" t="s">
        <v>813</v>
      </c>
      <c r="E263" s="145"/>
      <c r="F263" s="146" t="str">
        <f t="shared" si="4"/>
        <v>L.641.08</v>
      </c>
      <c r="G263" s="147" t="s">
        <v>994</v>
      </c>
      <c r="H263" s="146" t="str">
        <f>VLOOKUP(I263,[1]Scheme!D:F,3,0)</f>
        <v>L10.03</v>
      </c>
      <c r="I263" s="147" t="s">
        <v>982</v>
      </c>
      <c r="J263" s="146" t="str">
        <f>VLOOKUP(K263,[1]Scheme!B:C,2,0)</f>
        <v>L10</v>
      </c>
      <c r="K263" s="147" t="s">
        <v>834</v>
      </c>
      <c r="L263" s="148"/>
    </row>
    <row r="264" spans="1:12" s="149" customFormat="1" ht="12">
      <c r="A264" s="143" t="s">
        <v>832</v>
      </c>
      <c r="B264" s="144">
        <v>64</v>
      </c>
      <c r="C264" s="143" t="s">
        <v>653</v>
      </c>
      <c r="D264" s="143" t="s">
        <v>815</v>
      </c>
      <c r="E264" s="145"/>
      <c r="F264" s="146" t="str">
        <f t="shared" si="4"/>
        <v>L.641.09</v>
      </c>
      <c r="G264" s="147" t="s">
        <v>995</v>
      </c>
      <c r="H264" s="146" t="str">
        <f>VLOOKUP(I264,[1]Scheme!D:F,3,0)</f>
        <v>L10.03</v>
      </c>
      <c r="I264" s="147" t="s">
        <v>982</v>
      </c>
      <c r="J264" s="146" t="str">
        <f>VLOOKUP(K264,[1]Scheme!B:C,2,0)</f>
        <v>L10</v>
      </c>
      <c r="K264" s="147" t="s">
        <v>834</v>
      </c>
      <c r="L264" s="148"/>
    </row>
    <row r="265" spans="1:12" s="149" customFormat="1" ht="12">
      <c r="A265" s="143" t="s">
        <v>832</v>
      </c>
      <c r="B265" s="144">
        <v>64</v>
      </c>
      <c r="C265" s="143" t="s">
        <v>653</v>
      </c>
      <c r="D265" s="143" t="s">
        <v>499</v>
      </c>
      <c r="E265" s="145"/>
      <c r="F265" s="146" t="str">
        <f t="shared" si="4"/>
        <v>L.641.10</v>
      </c>
      <c r="G265" s="147" t="s">
        <v>996</v>
      </c>
      <c r="H265" s="146" t="str">
        <f>VLOOKUP(I265,[1]Scheme!D:F,3,0)</f>
        <v>L10.03</v>
      </c>
      <c r="I265" s="147" t="s">
        <v>982</v>
      </c>
      <c r="J265" s="146" t="str">
        <f>VLOOKUP(K265,[1]Scheme!B:C,2,0)</f>
        <v>L10</v>
      </c>
      <c r="K265" s="147" t="s">
        <v>834</v>
      </c>
      <c r="L265" s="148"/>
    </row>
    <row r="266" spans="1:12" s="149" customFormat="1" ht="12">
      <c r="A266" s="143" t="s">
        <v>832</v>
      </c>
      <c r="B266" s="144">
        <v>64</v>
      </c>
      <c r="C266" s="143" t="s">
        <v>653</v>
      </c>
      <c r="D266" s="143" t="s">
        <v>504</v>
      </c>
      <c r="E266" s="145"/>
      <c r="F266" s="146" t="str">
        <f t="shared" si="4"/>
        <v>L.641.11</v>
      </c>
      <c r="G266" s="147" t="s">
        <v>997</v>
      </c>
      <c r="H266" s="146" t="str">
        <f>VLOOKUP(I266,[1]Scheme!D:F,3,0)</f>
        <v>L10.03</v>
      </c>
      <c r="I266" s="147" t="s">
        <v>982</v>
      </c>
      <c r="J266" s="146" t="str">
        <f>VLOOKUP(K266,[1]Scheme!B:C,2,0)</f>
        <v>L10</v>
      </c>
      <c r="K266" s="147" t="s">
        <v>834</v>
      </c>
      <c r="L266" s="148"/>
    </row>
    <row r="267" spans="1:12" s="149" customFormat="1" ht="12">
      <c r="A267" s="143" t="s">
        <v>832</v>
      </c>
      <c r="B267" s="144">
        <v>64</v>
      </c>
      <c r="C267" s="143" t="s">
        <v>653</v>
      </c>
      <c r="D267" s="143" t="s">
        <v>508</v>
      </c>
      <c r="E267" s="145"/>
      <c r="F267" s="146" t="str">
        <f t="shared" si="4"/>
        <v>L.641.12</v>
      </c>
      <c r="G267" s="147" t="s">
        <v>998</v>
      </c>
      <c r="H267" s="146" t="str">
        <f>VLOOKUP(I267,[1]Scheme!D:F,3,0)</f>
        <v>L10.03</v>
      </c>
      <c r="I267" s="147" t="s">
        <v>982</v>
      </c>
      <c r="J267" s="146" t="str">
        <f>VLOOKUP(K267,[1]Scheme!B:C,2,0)</f>
        <v>L10</v>
      </c>
      <c r="K267" s="147" t="s">
        <v>834</v>
      </c>
      <c r="L267" s="148"/>
    </row>
    <row r="268" spans="1:12" s="149" customFormat="1" ht="12">
      <c r="A268" s="143" t="s">
        <v>832</v>
      </c>
      <c r="B268" s="144">
        <v>64</v>
      </c>
      <c r="C268" s="143" t="s">
        <v>658</v>
      </c>
      <c r="D268" s="143"/>
      <c r="E268" s="145"/>
      <c r="F268" s="146" t="str">
        <f t="shared" si="4"/>
        <v>L.642</v>
      </c>
      <c r="G268" s="147" t="s">
        <v>999</v>
      </c>
      <c r="H268" s="146" t="str">
        <f>VLOOKUP(I268,[1]Scheme!D:F,3,0)</f>
        <v>L10.03</v>
      </c>
      <c r="I268" s="147" t="s">
        <v>982</v>
      </c>
      <c r="J268" s="146" t="str">
        <f>VLOOKUP(K268,[1]Scheme!B:C,2,0)</f>
        <v>L10</v>
      </c>
      <c r="K268" s="147" t="s">
        <v>834</v>
      </c>
      <c r="L268" s="148"/>
    </row>
    <row r="269" spans="1:12" s="149" customFormat="1" ht="12">
      <c r="A269" s="143" t="s">
        <v>832</v>
      </c>
      <c r="B269" s="144">
        <v>64</v>
      </c>
      <c r="C269" s="143" t="s">
        <v>658</v>
      </c>
      <c r="D269" s="143" t="s">
        <v>698</v>
      </c>
      <c r="E269" s="145"/>
      <c r="F269" s="146" t="str">
        <f t="shared" si="4"/>
        <v>L.642.02</v>
      </c>
      <c r="G269" s="147" t="s">
        <v>1000</v>
      </c>
      <c r="H269" s="146" t="str">
        <f>VLOOKUP(I269,[1]Scheme!D:F,3,0)</f>
        <v>L10.03</v>
      </c>
      <c r="I269" s="147" t="s">
        <v>982</v>
      </c>
      <c r="J269" s="146" t="str">
        <f>VLOOKUP(K269,[1]Scheme!B:C,2,0)</f>
        <v>L10</v>
      </c>
      <c r="K269" s="147" t="s">
        <v>834</v>
      </c>
      <c r="L269" s="148"/>
    </row>
    <row r="270" spans="1:12" s="149" customFormat="1" ht="12">
      <c r="A270" s="143" t="s">
        <v>832</v>
      </c>
      <c r="B270" s="144">
        <v>64</v>
      </c>
      <c r="C270" s="143" t="s">
        <v>658</v>
      </c>
      <c r="D270" s="143" t="s">
        <v>706</v>
      </c>
      <c r="E270" s="145"/>
      <c r="F270" s="146" t="str">
        <f t="shared" si="4"/>
        <v>L.642.04</v>
      </c>
      <c r="G270" s="147" t="s">
        <v>1001</v>
      </c>
      <c r="H270" s="146" t="str">
        <f>VLOOKUP(I270,[1]Scheme!D:F,3,0)</f>
        <v>L10.03</v>
      </c>
      <c r="I270" s="147" t="s">
        <v>982</v>
      </c>
      <c r="J270" s="146" t="str">
        <f>VLOOKUP(K270,[1]Scheme!B:C,2,0)</f>
        <v>L10</v>
      </c>
      <c r="K270" s="147" t="s">
        <v>834</v>
      </c>
      <c r="L270" s="148"/>
    </row>
    <row r="271" spans="1:12" s="149" customFormat="1" ht="12">
      <c r="A271" s="143" t="s">
        <v>832</v>
      </c>
      <c r="B271" s="144">
        <v>64</v>
      </c>
      <c r="C271" s="143" t="s">
        <v>658</v>
      </c>
      <c r="D271" s="143" t="s">
        <v>708</v>
      </c>
      <c r="E271" s="145"/>
      <c r="F271" s="146" t="str">
        <f t="shared" si="4"/>
        <v>L.642.05</v>
      </c>
      <c r="G271" s="147" t="s">
        <v>1002</v>
      </c>
      <c r="H271" s="146" t="str">
        <f>VLOOKUP(I271,[1]Scheme!D:F,3,0)</f>
        <v>L10.03</v>
      </c>
      <c r="I271" s="147" t="s">
        <v>982</v>
      </c>
      <c r="J271" s="146" t="str">
        <f>VLOOKUP(K271,[1]Scheme!B:C,2,0)</f>
        <v>L10</v>
      </c>
      <c r="K271" s="147" t="s">
        <v>834</v>
      </c>
      <c r="L271" s="148"/>
    </row>
    <row r="272" spans="1:12" s="149" customFormat="1" ht="12">
      <c r="A272" s="143" t="s">
        <v>832</v>
      </c>
      <c r="B272" s="144">
        <v>64</v>
      </c>
      <c r="C272" s="143" t="s">
        <v>658</v>
      </c>
      <c r="D272" s="143" t="s">
        <v>710</v>
      </c>
      <c r="E272" s="145"/>
      <c r="F272" s="146" t="str">
        <f t="shared" si="4"/>
        <v>L.642.06</v>
      </c>
      <c r="G272" s="147" t="s">
        <v>1003</v>
      </c>
      <c r="H272" s="146" t="str">
        <f>VLOOKUP(I272,[1]Scheme!D:F,3,0)</f>
        <v>L10.03</v>
      </c>
      <c r="I272" s="147" t="s">
        <v>982</v>
      </c>
      <c r="J272" s="146" t="str">
        <f>VLOOKUP(K272,[1]Scheme!B:C,2,0)</f>
        <v>L10</v>
      </c>
      <c r="K272" s="147" t="s">
        <v>834</v>
      </c>
      <c r="L272" s="148"/>
    </row>
    <row r="273" spans="1:12" s="149" customFormat="1" ht="12">
      <c r="A273" s="143" t="s">
        <v>832</v>
      </c>
      <c r="B273" s="144">
        <v>64</v>
      </c>
      <c r="C273" s="143" t="s">
        <v>658</v>
      </c>
      <c r="D273" s="143" t="s">
        <v>813</v>
      </c>
      <c r="E273" s="145"/>
      <c r="F273" s="146" t="str">
        <f t="shared" si="4"/>
        <v>L.642.08</v>
      </c>
      <c r="G273" s="147" t="s">
        <v>1004</v>
      </c>
      <c r="H273" s="146" t="str">
        <f>VLOOKUP(I273,[1]Scheme!D:F,3,0)</f>
        <v>L10.03</v>
      </c>
      <c r="I273" s="147" t="s">
        <v>982</v>
      </c>
      <c r="J273" s="146" t="str">
        <f>VLOOKUP(K273,[1]Scheme!B:C,2,0)</f>
        <v>L10</v>
      </c>
      <c r="K273" s="147" t="s">
        <v>834</v>
      </c>
      <c r="L273" s="148"/>
    </row>
    <row r="274" spans="1:12" s="149" customFormat="1" ht="12">
      <c r="A274" s="143" t="s">
        <v>832</v>
      </c>
      <c r="B274" s="144">
        <v>64</v>
      </c>
      <c r="C274" s="143" t="s">
        <v>660</v>
      </c>
      <c r="D274" s="143"/>
      <c r="E274" s="145"/>
      <c r="F274" s="146" t="str">
        <f t="shared" si="4"/>
        <v>L.643</v>
      </c>
      <c r="G274" s="147" t="s">
        <v>1005</v>
      </c>
      <c r="H274" s="146" t="str">
        <f>VLOOKUP(I274,[1]Scheme!D:F,3,0)</f>
        <v>L10.03</v>
      </c>
      <c r="I274" s="147" t="s">
        <v>982</v>
      </c>
      <c r="J274" s="146" t="str">
        <f>VLOOKUP(K274,[1]Scheme!B:C,2,0)</f>
        <v>L10</v>
      </c>
      <c r="K274" s="147" t="s">
        <v>834</v>
      </c>
      <c r="L274" s="148"/>
    </row>
    <row r="275" spans="1:12" s="149" customFormat="1" ht="12">
      <c r="A275" s="143" t="s">
        <v>650</v>
      </c>
      <c r="B275" s="144">
        <v>64</v>
      </c>
      <c r="C275" s="143" t="s">
        <v>660</v>
      </c>
      <c r="D275" s="143"/>
      <c r="E275" s="145"/>
      <c r="F275" s="146" t="str">
        <f t="shared" si="4"/>
        <v>A.643</v>
      </c>
      <c r="G275" s="147" t="s">
        <v>988</v>
      </c>
      <c r="H275" s="146" t="str">
        <f>VLOOKUP(I275,[1]Scheme!D:F,3,0)</f>
        <v>A15.01</v>
      </c>
      <c r="I275" s="147" t="s">
        <v>988</v>
      </c>
      <c r="J275" s="146" t="str">
        <f>VLOOKUP(K275,[1]Scheme!B:C,2,0)</f>
        <v>A15</v>
      </c>
      <c r="K275" s="147" t="s">
        <v>985</v>
      </c>
      <c r="L275" s="148"/>
    </row>
    <row r="276" spans="1:12" s="149" customFormat="1" ht="12">
      <c r="A276" s="143" t="s">
        <v>832</v>
      </c>
      <c r="B276" s="144">
        <v>64</v>
      </c>
      <c r="C276" s="143" t="s">
        <v>662</v>
      </c>
      <c r="D276" s="143"/>
      <c r="E276" s="145"/>
      <c r="F276" s="146" t="str">
        <f t="shared" si="4"/>
        <v>L.644</v>
      </c>
      <c r="G276" s="147" t="s">
        <v>1006</v>
      </c>
      <c r="H276" s="146" t="str">
        <f>VLOOKUP(I276,[1]Scheme!D:F,3,0)</f>
        <v>L10.03</v>
      </c>
      <c r="I276" s="147" t="s">
        <v>982</v>
      </c>
      <c r="J276" s="146" t="str">
        <f>VLOOKUP(K276,[1]Scheme!B:C,2,0)</f>
        <v>L10</v>
      </c>
      <c r="K276" s="147" t="s">
        <v>834</v>
      </c>
      <c r="L276" s="148"/>
    </row>
    <row r="277" spans="1:12" s="149" customFormat="1" ht="12">
      <c r="A277" s="143" t="s">
        <v>650</v>
      </c>
      <c r="B277" s="144">
        <v>64</v>
      </c>
      <c r="C277" s="143" t="s">
        <v>662</v>
      </c>
      <c r="D277" s="143"/>
      <c r="E277" s="145"/>
      <c r="F277" s="146" t="str">
        <f t="shared" si="4"/>
        <v>A.644</v>
      </c>
      <c r="G277" s="147" t="s">
        <v>1006</v>
      </c>
      <c r="H277" s="146" t="str">
        <f>VLOOKUP(I277,[1]Scheme!D:F,3,0)</f>
        <v>A15.01</v>
      </c>
      <c r="I277" s="147" t="s">
        <v>988</v>
      </c>
      <c r="J277" s="146" t="str">
        <f>VLOOKUP(K277,[1]Scheme!B:C,2,0)</f>
        <v>A15</v>
      </c>
      <c r="K277" s="147" t="s">
        <v>985</v>
      </c>
      <c r="L277" s="148"/>
    </row>
    <row r="278" spans="1:12" s="149" customFormat="1" ht="12">
      <c r="A278" s="143" t="s">
        <v>832</v>
      </c>
      <c r="B278" s="144">
        <v>64</v>
      </c>
      <c r="C278" s="143" t="s">
        <v>662</v>
      </c>
      <c r="D278" s="143" t="s">
        <v>692</v>
      </c>
      <c r="E278" s="145"/>
      <c r="F278" s="146" t="str">
        <f t="shared" si="4"/>
        <v>L.644.01</v>
      </c>
      <c r="G278" s="147" t="s">
        <v>1006</v>
      </c>
      <c r="H278" s="146" t="str">
        <f>VLOOKUP(I278,[1]Scheme!D:F,3,0)</f>
        <v>L10.03</v>
      </c>
      <c r="I278" s="147" t="s">
        <v>982</v>
      </c>
      <c r="J278" s="146" t="str">
        <f>VLOOKUP(K278,[1]Scheme!B:C,2,0)</f>
        <v>L10</v>
      </c>
      <c r="K278" s="147" t="s">
        <v>834</v>
      </c>
      <c r="L278" s="148"/>
    </row>
    <row r="279" spans="1:12" s="149" customFormat="1" ht="12">
      <c r="A279" s="143" t="s">
        <v>650</v>
      </c>
      <c r="B279" s="144">
        <v>64</v>
      </c>
      <c r="C279" s="143" t="s">
        <v>662</v>
      </c>
      <c r="D279" s="143" t="s">
        <v>692</v>
      </c>
      <c r="E279" s="145"/>
      <c r="F279" s="146" t="str">
        <f t="shared" si="4"/>
        <v>A.644.01</v>
      </c>
      <c r="G279" s="147" t="s">
        <v>1006</v>
      </c>
      <c r="H279" s="146" t="str">
        <f>VLOOKUP(I279,[1]Scheme!D:F,3,0)</f>
        <v>A15.01</v>
      </c>
      <c r="I279" s="147" t="s">
        <v>988</v>
      </c>
      <c r="J279" s="146" t="str">
        <f>VLOOKUP(K279,[1]Scheme!B:C,2,0)</f>
        <v>A15</v>
      </c>
      <c r="K279" s="147" t="s">
        <v>985</v>
      </c>
      <c r="L279" s="148"/>
    </row>
    <row r="280" spans="1:12" s="149" customFormat="1" ht="12">
      <c r="A280" s="143" t="s">
        <v>832</v>
      </c>
      <c r="B280" s="144">
        <v>64</v>
      </c>
      <c r="C280" s="143" t="s">
        <v>662</v>
      </c>
      <c r="D280" s="143" t="s">
        <v>698</v>
      </c>
      <c r="E280" s="145"/>
      <c r="F280" s="146" t="str">
        <f t="shared" si="4"/>
        <v>L.644.02</v>
      </c>
      <c r="G280" s="147" t="s">
        <v>1007</v>
      </c>
      <c r="H280" s="146" t="str">
        <f>VLOOKUP(I280,[1]Scheme!D:F,3,0)</f>
        <v>L10.03</v>
      </c>
      <c r="I280" s="147" t="s">
        <v>982</v>
      </c>
      <c r="J280" s="146" t="str">
        <f>VLOOKUP(K280,[1]Scheme!B:C,2,0)</f>
        <v>L10</v>
      </c>
      <c r="K280" s="147" t="s">
        <v>834</v>
      </c>
      <c r="L280" s="148"/>
    </row>
    <row r="281" spans="1:12" s="149" customFormat="1" ht="12">
      <c r="A281" s="143" t="s">
        <v>650</v>
      </c>
      <c r="B281" s="144">
        <v>64</v>
      </c>
      <c r="C281" s="143" t="s">
        <v>662</v>
      </c>
      <c r="D281" s="143" t="s">
        <v>698</v>
      </c>
      <c r="E281" s="145"/>
      <c r="F281" s="146" t="str">
        <f t="shared" si="4"/>
        <v>A.644.02</v>
      </c>
      <c r="G281" s="147" t="s">
        <v>1007</v>
      </c>
      <c r="H281" s="146" t="str">
        <f>VLOOKUP(I281,[1]Scheme!D:F,3,0)</f>
        <v>A15.01</v>
      </c>
      <c r="I281" s="147" t="s">
        <v>988</v>
      </c>
      <c r="J281" s="146" t="str">
        <f>VLOOKUP(K281,[1]Scheme!B:C,2,0)</f>
        <v>A15</v>
      </c>
      <c r="K281" s="147" t="s">
        <v>985</v>
      </c>
      <c r="L281" s="148"/>
    </row>
    <row r="282" spans="1:12" s="149" customFormat="1" ht="12">
      <c r="A282" s="143" t="s">
        <v>832</v>
      </c>
      <c r="B282" s="144">
        <v>65</v>
      </c>
      <c r="C282" s="143"/>
      <c r="D282" s="143"/>
      <c r="E282" s="145"/>
      <c r="F282" s="146" t="str">
        <f t="shared" si="4"/>
        <v>L.65</v>
      </c>
      <c r="G282" s="147" t="s">
        <v>1008</v>
      </c>
      <c r="H282" s="146" t="str">
        <f>VLOOKUP(I282,[1]Scheme!D:F,3,0)</f>
        <v>L08.03</v>
      </c>
      <c r="I282" s="147" t="s">
        <v>853</v>
      </c>
      <c r="J282" s="146" t="str">
        <f>VLOOKUP(K282,[1]Scheme!B:C,2,0)</f>
        <v>L08</v>
      </c>
      <c r="K282" s="147" t="s">
        <v>846</v>
      </c>
      <c r="L282" s="148"/>
    </row>
    <row r="283" spans="1:12" s="149" customFormat="1" ht="12">
      <c r="A283" s="143" t="s">
        <v>832</v>
      </c>
      <c r="B283" s="144">
        <v>65</v>
      </c>
      <c r="C283" s="143" t="s">
        <v>653</v>
      </c>
      <c r="D283" s="143"/>
      <c r="E283" s="145"/>
      <c r="F283" s="146" t="str">
        <f t="shared" si="4"/>
        <v>L.651</v>
      </c>
      <c r="G283" s="147" t="s">
        <v>1009</v>
      </c>
      <c r="H283" s="146" t="str">
        <f>VLOOKUP(I283,[1]Scheme!D:F,3,0)</f>
        <v>L10.03</v>
      </c>
      <c r="I283" s="147" t="s">
        <v>982</v>
      </c>
      <c r="J283" s="146" t="str">
        <f>VLOOKUP(K283,[1]Scheme!B:C,2,0)</f>
        <v>L10</v>
      </c>
      <c r="K283" s="147" t="s">
        <v>834</v>
      </c>
      <c r="L283" s="148"/>
    </row>
    <row r="284" spans="1:12" s="149" customFormat="1" ht="12">
      <c r="A284" s="143" t="s">
        <v>832</v>
      </c>
      <c r="B284" s="144">
        <v>65</v>
      </c>
      <c r="C284" s="143" t="s">
        <v>653</v>
      </c>
      <c r="D284" s="143" t="s">
        <v>692</v>
      </c>
      <c r="E284" s="145"/>
      <c r="F284" s="146" t="str">
        <f t="shared" si="4"/>
        <v>L.651.01</v>
      </c>
      <c r="G284" s="147" t="s">
        <v>1010</v>
      </c>
      <c r="H284" s="146" t="str">
        <f>VLOOKUP(I284,[1]Scheme!D:F,3,0)</f>
        <v>L08.03</v>
      </c>
      <c r="I284" s="147" t="s">
        <v>853</v>
      </c>
      <c r="J284" s="146" t="str">
        <f>VLOOKUP(K284,[1]Scheme!B:C,2,0)</f>
        <v>L08</v>
      </c>
      <c r="K284" s="147" t="s">
        <v>846</v>
      </c>
      <c r="L284" s="148"/>
    </row>
    <row r="285" spans="1:12" s="149" customFormat="1" ht="12">
      <c r="A285" s="143" t="s">
        <v>650</v>
      </c>
      <c r="B285" s="144">
        <v>65</v>
      </c>
      <c r="C285" s="143" t="s">
        <v>653</v>
      </c>
      <c r="D285" s="143" t="s">
        <v>692</v>
      </c>
      <c r="E285" s="145"/>
      <c r="F285" s="146" t="str">
        <f t="shared" si="4"/>
        <v>A.651.01</v>
      </c>
      <c r="G285" s="147" t="s">
        <v>1010</v>
      </c>
      <c r="H285" s="146" t="str">
        <f>VLOOKUP(I285,[1]Scheme!D:F,3,0)</f>
        <v>A12.03</v>
      </c>
      <c r="I285" s="147" t="s">
        <v>824</v>
      </c>
      <c r="J285" s="146" t="str">
        <f>VLOOKUP(K285,[1]Scheme!B:C,2,0)</f>
        <v>A12</v>
      </c>
      <c r="K285" s="147" t="s">
        <v>824</v>
      </c>
      <c r="L285" s="148"/>
    </row>
    <row r="286" spans="1:12" s="149" customFormat="1" ht="12">
      <c r="A286" s="143" t="s">
        <v>832</v>
      </c>
      <c r="B286" s="144">
        <v>65</v>
      </c>
      <c r="C286" s="143" t="s">
        <v>658</v>
      </c>
      <c r="D286" s="143"/>
      <c r="E286" s="145"/>
      <c r="F286" s="146" t="str">
        <f t="shared" si="4"/>
        <v>L.652</v>
      </c>
      <c r="G286" s="147" t="s">
        <v>1011</v>
      </c>
      <c r="H286" s="146" t="str">
        <f>VLOOKUP(I286,[1]Scheme!D:F,3,0)</f>
        <v>L08.03</v>
      </c>
      <c r="I286" s="147" t="s">
        <v>853</v>
      </c>
      <c r="J286" s="146" t="str">
        <f>VLOOKUP(K286,[1]Scheme!B:C,2,0)</f>
        <v>L08</v>
      </c>
      <c r="K286" s="147" t="s">
        <v>846</v>
      </c>
      <c r="L286" s="148"/>
    </row>
    <row r="287" spans="1:12" s="149" customFormat="1" ht="12">
      <c r="A287" s="143" t="s">
        <v>650</v>
      </c>
      <c r="B287" s="144">
        <v>65</v>
      </c>
      <c r="C287" s="143" t="s">
        <v>658</v>
      </c>
      <c r="D287" s="143"/>
      <c r="E287" s="145"/>
      <c r="F287" s="146" t="str">
        <f t="shared" si="4"/>
        <v>A.652</v>
      </c>
      <c r="G287" s="147" t="s">
        <v>1012</v>
      </c>
      <c r="H287" s="146" t="str">
        <f>VLOOKUP(I287,[1]Scheme!D:F,3,0)</f>
        <v>A12.03</v>
      </c>
      <c r="I287" s="147" t="s">
        <v>824</v>
      </c>
      <c r="J287" s="146" t="str">
        <f>VLOOKUP(K287,[1]Scheme!B:C,2,0)</f>
        <v>A12</v>
      </c>
      <c r="K287" s="147" t="s">
        <v>824</v>
      </c>
      <c r="L287" s="148"/>
    </row>
    <row r="288" spans="1:12" s="149" customFormat="1" ht="12">
      <c r="A288" s="143" t="s">
        <v>832</v>
      </c>
      <c r="B288" s="144">
        <v>65</v>
      </c>
      <c r="C288" s="143" t="s">
        <v>660</v>
      </c>
      <c r="D288" s="143"/>
      <c r="E288" s="145"/>
      <c r="F288" s="146" t="str">
        <f t="shared" si="4"/>
        <v>L.653</v>
      </c>
      <c r="G288" s="147" t="s">
        <v>1013</v>
      </c>
      <c r="H288" s="146" t="str">
        <f>VLOOKUP(I288,[1]Scheme!D:F,3,0)</f>
        <v>L08.03</v>
      </c>
      <c r="I288" s="147" t="s">
        <v>853</v>
      </c>
      <c r="J288" s="146" t="str">
        <f>VLOOKUP(K288,[1]Scheme!B:C,2,0)</f>
        <v>L08</v>
      </c>
      <c r="K288" s="147" t="s">
        <v>846</v>
      </c>
      <c r="L288" s="148"/>
    </row>
    <row r="289" spans="1:12" s="149" customFormat="1" ht="12">
      <c r="A289" s="143" t="s">
        <v>832</v>
      </c>
      <c r="B289" s="144">
        <v>65</v>
      </c>
      <c r="C289" s="143" t="s">
        <v>662</v>
      </c>
      <c r="D289" s="143"/>
      <c r="E289" s="145"/>
      <c r="F289" s="146" t="str">
        <f t="shared" si="4"/>
        <v>L.654</v>
      </c>
      <c r="G289" s="147" t="s">
        <v>1014</v>
      </c>
      <c r="H289" s="146" t="str">
        <f>VLOOKUP(I289,[1]Scheme!D:F,3,0)</f>
        <v>L10.03</v>
      </c>
      <c r="I289" s="147" t="s">
        <v>982</v>
      </c>
      <c r="J289" s="146" t="str">
        <f>VLOOKUP(K289,[1]Scheme!B:C,2,0)</f>
        <v>L10</v>
      </c>
      <c r="K289" s="147" t="s">
        <v>834</v>
      </c>
      <c r="L289" s="148"/>
    </row>
    <row r="290" spans="1:12" s="149" customFormat="1" ht="12">
      <c r="A290" s="143" t="s">
        <v>832</v>
      </c>
      <c r="B290" s="144">
        <v>65</v>
      </c>
      <c r="C290" s="143" t="s">
        <v>668</v>
      </c>
      <c r="D290" s="143"/>
      <c r="E290" s="145"/>
      <c r="F290" s="146" t="str">
        <f t="shared" si="4"/>
        <v>L.655</v>
      </c>
      <c r="G290" s="147" t="s">
        <v>1015</v>
      </c>
      <c r="H290" s="146" t="str">
        <f>VLOOKUP(I290,[1]Scheme!D:F,3,0)</f>
        <v>L08.03</v>
      </c>
      <c r="I290" s="147" t="s">
        <v>853</v>
      </c>
      <c r="J290" s="146" t="str">
        <f>VLOOKUP(K290,[1]Scheme!B:C,2,0)</f>
        <v>L08</v>
      </c>
      <c r="K290" s="147" t="s">
        <v>846</v>
      </c>
      <c r="L290" s="148"/>
    </row>
    <row r="291" spans="1:12" s="149" customFormat="1" ht="12">
      <c r="A291" s="143" t="s">
        <v>832</v>
      </c>
      <c r="B291" s="144">
        <v>65</v>
      </c>
      <c r="C291" s="143" t="s">
        <v>670</v>
      </c>
      <c r="D291" s="143"/>
      <c r="E291" s="145"/>
      <c r="F291" s="146" t="str">
        <f t="shared" si="4"/>
        <v>L.656</v>
      </c>
      <c r="G291" s="147" t="s">
        <v>1016</v>
      </c>
      <c r="H291" s="146" t="str">
        <f>VLOOKUP(I291,[1]Scheme!D:F,3,0)</f>
        <v>L08.03</v>
      </c>
      <c r="I291" s="147" t="s">
        <v>853</v>
      </c>
      <c r="J291" s="146" t="str">
        <f>VLOOKUP(K291,[1]Scheme!B:C,2,0)</f>
        <v>L08</v>
      </c>
      <c r="K291" s="147" t="s">
        <v>846</v>
      </c>
      <c r="L291" s="148"/>
    </row>
    <row r="292" spans="1:12" s="149" customFormat="1" ht="12">
      <c r="A292" s="143" t="s">
        <v>650</v>
      </c>
      <c r="B292" s="144">
        <v>65</v>
      </c>
      <c r="C292" s="143" t="s">
        <v>670</v>
      </c>
      <c r="D292" s="143"/>
      <c r="E292" s="145"/>
      <c r="F292" s="146" t="str">
        <f t="shared" si="4"/>
        <v>A.656</v>
      </c>
      <c r="G292" s="147" t="s">
        <v>1017</v>
      </c>
      <c r="H292" s="146" t="str">
        <f>VLOOKUP(I292,[1]Scheme!D:F,3,0)</f>
        <v>A12.03</v>
      </c>
      <c r="I292" s="147" t="s">
        <v>824</v>
      </c>
      <c r="J292" s="146" t="str">
        <f>VLOOKUP(K292,[1]Scheme!B:C,2,0)</f>
        <v>A12</v>
      </c>
      <c r="K292" s="147" t="s">
        <v>824</v>
      </c>
      <c r="L292" s="148"/>
    </row>
    <row r="293" spans="1:12" s="149" customFormat="1" ht="12">
      <c r="A293" s="143" t="s">
        <v>832</v>
      </c>
      <c r="B293" s="144">
        <v>66</v>
      </c>
      <c r="C293" s="143"/>
      <c r="D293" s="143"/>
      <c r="E293" s="145"/>
      <c r="F293" s="146" t="str">
        <f t="shared" si="4"/>
        <v>L.66</v>
      </c>
      <c r="G293" s="147" t="s">
        <v>1018</v>
      </c>
      <c r="H293" s="146" t="str">
        <f>VLOOKUP(I293,[1]Scheme!D:F,3,0)</f>
        <v>L08.03</v>
      </c>
      <c r="I293" s="147" t="s">
        <v>853</v>
      </c>
      <c r="J293" s="146" t="str">
        <f>VLOOKUP(K293,[1]Scheme!B:C,2,0)</f>
        <v>L08</v>
      </c>
      <c r="K293" s="147" t="s">
        <v>846</v>
      </c>
      <c r="L293" s="148"/>
    </row>
    <row r="294" spans="1:12" s="149" customFormat="1" ht="12">
      <c r="A294" s="143" t="s">
        <v>832</v>
      </c>
      <c r="B294" s="144">
        <v>66</v>
      </c>
      <c r="C294" s="143" t="s">
        <v>653</v>
      </c>
      <c r="D294" s="143"/>
      <c r="E294" s="145"/>
      <c r="F294" s="146" t="str">
        <f t="shared" si="4"/>
        <v>L.661</v>
      </c>
      <c r="G294" s="147" t="s">
        <v>1019</v>
      </c>
      <c r="H294" s="146" t="str">
        <f>VLOOKUP(I294,[1]Scheme!D:F,3,0)</f>
        <v>L08.03</v>
      </c>
      <c r="I294" s="147" t="s">
        <v>853</v>
      </c>
      <c r="J294" s="146" t="str">
        <f>VLOOKUP(K294,[1]Scheme!B:C,2,0)</f>
        <v>L08</v>
      </c>
      <c r="K294" s="147" t="s">
        <v>846</v>
      </c>
      <c r="L294" s="148"/>
    </row>
    <row r="295" spans="1:12" s="149" customFormat="1" ht="12">
      <c r="A295" s="143" t="s">
        <v>650</v>
      </c>
      <c r="B295" s="144">
        <v>66</v>
      </c>
      <c r="C295" s="143" t="s">
        <v>653</v>
      </c>
      <c r="D295" s="143"/>
      <c r="E295" s="145"/>
      <c r="F295" s="146" t="str">
        <f t="shared" si="4"/>
        <v>A.661</v>
      </c>
      <c r="G295" s="147" t="s">
        <v>1020</v>
      </c>
      <c r="H295" s="146" t="str">
        <f>VLOOKUP(I295,[1]Scheme!D:F,3,0)</f>
        <v>A13.01</v>
      </c>
      <c r="I295" s="147" t="s">
        <v>843</v>
      </c>
      <c r="J295" s="146" t="str">
        <f>VLOOKUP(K295,[1]Scheme!B:C,2,0)</f>
        <v>A13</v>
      </c>
      <c r="K295" s="147" t="s">
        <v>843</v>
      </c>
      <c r="L295" s="148"/>
    </row>
    <row r="296" spans="1:12" s="149" customFormat="1" ht="12">
      <c r="A296" s="143" t="s">
        <v>832</v>
      </c>
      <c r="B296" s="144">
        <v>66</v>
      </c>
      <c r="C296" s="143" t="s">
        <v>658</v>
      </c>
      <c r="D296" s="143"/>
      <c r="E296" s="145"/>
      <c r="F296" s="146" t="str">
        <f t="shared" si="4"/>
        <v>L.662</v>
      </c>
      <c r="G296" s="147" t="s">
        <v>1021</v>
      </c>
      <c r="H296" s="146" t="str">
        <f>VLOOKUP(I296,[1]Scheme!D:F,3,0)</f>
        <v>L08.03</v>
      </c>
      <c r="I296" s="147" t="s">
        <v>853</v>
      </c>
      <c r="J296" s="146" t="str">
        <f>VLOOKUP(K296,[1]Scheme!B:C,2,0)</f>
        <v>L08</v>
      </c>
      <c r="K296" s="147" t="s">
        <v>846</v>
      </c>
      <c r="L296" s="148"/>
    </row>
    <row r="297" spans="1:12" s="149" customFormat="1" ht="12">
      <c r="A297" s="143" t="s">
        <v>832</v>
      </c>
      <c r="B297" s="144">
        <v>66</v>
      </c>
      <c r="C297" s="143" t="s">
        <v>660</v>
      </c>
      <c r="D297" s="143"/>
      <c r="E297" s="145"/>
      <c r="F297" s="146" t="str">
        <f t="shared" si="4"/>
        <v>L.663</v>
      </c>
      <c r="G297" s="147" t="s">
        <v>1022</v>
      </c>
      <c r="H297" s="146" t="str">
        <f>VLOOKUP(I297,[1]Scheme!D:F,3,0)</f>
        <v>L08.03</v>
      </c>
      <c r="I297" s="147" t="s">
        <v>853</v>
      </c>
      <c r="J297" s="146" t="str">
        <f>VLOOKUP(K297,[1]Scheme!B:C,2,0)</f>
        <v>L08</v>
      </c>
      <c r="K297" s="147" t="s">
        <v>846</v>
      </c>
      <c r="L297" s="148"/>
    </row>
    <row r="298" spans="1:12" s="149" customFormat="1" ht="12">
      <c r="A298" s="143" t="s">
        <v>832</v>
      </c>
      <c r="B298" s="144">
        <v>67</v>
      </c>
      <c r="C298" s="143"/>
      <c r="D298" s="143"/>
      <c r="E298" s="145"/>
      <c r="F298" s="146" t="str">
        <f t="shared" si="4"/>
        <v>L.67</v>
      </c>
      <c r="G298" s="147" t="s">
        <v>1023</v>
      </c>
      <c r="H298" s="146" t="str">
        <f>VLOOKUP(I298,[1]Scheme!D:F,3,0)</f>
        <v>L08.03</v>
      </c>
      <c r="I298" s="147" t="s">
        <v>853</v>
      </c>
      <c r="J298" s="146" t="str">
        <f>VLOOKUP(K298,[1]Scheme!B:C,2,0)</f>
        <v>L10</v>
      </c>
      <c r="K298" s="147" t="s">
        <v>834</v>
      </c>
      <c r="L298" s="148"/>
    </row>
    <row r="299" spans="1:12" s="149" customFormat="1" ht="12">
      <c r="A299" s="143" t="s">
        <v>832</v>
      </c>
      <c r="B299" s="144">
        <v>68</v>
      </c>
      <c r="C299" s="143"/>
      <c r="D299" s="143"/>
      <c r="E299" s="145"/>
      <c r="F299" s="146" t="str">
        <f t="shared" si="4"/>
        <v>L.68</v>
      </c>
      <c r="G299" s="147" t="s">
        <v>1024</v>
      </c>
      <c r="H299" s="146" t="str">
        <f>VLOOKUP(I299,[1]Scheme!D:F,3,0)</f>
        <v>L10.05</v>
      </c>
      <c r="I299" s="147" t="s">
        <v>1024</v>
      </c>
      <c r="J299" s="146" t="str">
        <f>VLOOKUP(K299,[1]Scheme!B:C,2,0)</f>
        <v>L10</v>
      </c>
      <c r="K299" s="147" t="s">
        <v>834</v>
      </c>
      <c r="L299" s="148"/>
    </row>
    <row r="300" spans="1:12" s="149" customFormat="1" ht="12">
      <c r="A300" s="143" t="s">
        <v>832</v>
      </c>
      <c r="B300" s="144">
        <v>68</v>
      </c>
      <c r="C300" s="143" t="s">
        <v>653</v>
      </c>
      <c r="D300" s="143"/>
      <c r="E300" s="145"/>
      <c r="F300" s="146" t="str">
        <f t="shared" si="4"/>
        <v>L.681</v>
      </c>
      <c r="G300" s="147" t="s">
        <v>1025</v>
      </c>
      <c r="H300" s="146" t="str">
        <f>VLOOKUP(I300,[1]Scheme!D:F,3,0)</f>
        <v>L10.01</v>
      </c>
      <c r="I300" s="147" t="s">
        <v>833</v>
      </c>
      <c r="J300" s="146" t="str">
        <f>VLOOKUP(K300,[1]Scheme!B:C,2,0)</f>
        <v>L10</v>
      </c>
      <c r="K300" s="147" t="s">
        <v>834</v>
      </c>
      <c r="L300" s="148"/>
    </row>
    <row r="301" spans="1:12" s="149" customFormat="1" ht="12">
      <c r="A301" s="143" t="s">
        <v>832</v>
      </c>
      <c r="B301" s="144">
        <v>68</v>
      </c>
      <c r="C301" s="143" t="s">
        <v>653</v>
      </c>
      <c r="D301" s="143" t="s">
        <v>692</v>
      </c>
      <c r="E301" s="145"/>
      <c r="F301" s="146" t="str">
        <f t="shared" si="4"/>
        <v>L.681.01</v>
      </c>
      <c r="G301" s="147" t="s">
        <v>1026</v>
      </c>
      <c r="H301" s="146" t="str">
        <f>VLOOKUP(I301,[1]Scheme!D:F,3,0)</f>
        <v>L10.01</v>
      </c>
      <c r="I301" s="147" t="s">
        <v>833</v>
      </c>
      <c r="J301" s="146" t="str">
        <f>VLOOKUP(K301,[1]Scheme!B:C,2,0)</f>
        <v>L10</v>
      </c>
      <c r="K301" s="147" t="s">
        <v>834</v>
      </c>
      <c r="L301" s="148"/>
    </row>
    <row r="302" spans="1:12" s="149" customFormat="1" ht="12">
      <c r="A302" s="143" t="s">
        <v>832</v>
      </c>
      <c r="B302" s="144">
        <v>68</v>
      </c>
      <c r="C302" s="143" t="s">
        <v>653</v>
      </c>
      <c r="D302" s="143" t="s">
        <v>698</v>
      </c>
      <c r="E302" s="145"/>
      <c r="F302" s="146" t="str">
        <f t="shared" si="4"/>
        <v>L.681.02</v>
      </c>
      <c r="G302" s="147" t="s">
        <v>1027</v>
      </c>
      <c r="H302" s="146" t="str">
        <f>VLOOKUP(I302,[1]Scheme!D:F,3,0)</f>
        <v>L10.01</v>
      </c>
      <c r="I302" s="147" t="s">
        <v>833</v>
      </c>
      <c r="J302" s="146" t="str">
        <f>VLOOKUP(K302,[1]Scheme!B:C,2,0)</f>
        <v>L10</v>
      </c>
      <c r="K302" s="147" t="s">
        <v>834</v>
      </c>
      <c r="L302" s="148"/>
    </row>
    <row r="303" spans="1:12" s="149" customFormat="1" ht="12">
      <c r="A303" s="143" t="s">
        <v>832</v>
      </c>
      <c r="B303" s="144">
        <v>68</v>
      </c>
      <c r="C303" s="143" t="s">
        <v>653</v>
      </c>
      <c r="D303" s="143" t="s">
        <v>700</v>
      </c>
      <c r="E303" s="145"/>
      <c r="F303" s="146" t="str">
        <f t="shared" si="4"/>
        <v>L.681.03</v>
      </c>
      <c r="G303" s="147" t="s">
        <v>1028</v>
      </c>
      <c r="H303" s="146" t="str">
        <f>VLOOKUP(I303,[1]Scheme!D:F,3,0)</f>
        <v>L10.01</v>
      </c>
      <c r="I303" s="147" t="s">
        <v>833</v>
      </c>
      <c r="J303" s="146" t="str">
        <f>VLOOKUP(K303,[1]Scheme!B:C,2,0)</f>
        <v>L10</v>
      </c>
      <c r="K303" s="147" t="s">
        <v>834</v>
      </c>
      <c r="L303" s="148"/>
    </row>
    <row r="304" spans="1:12" s="149" customFormat="1" ht="12">
      <c r="A304" s="143" t="s">
        <v>832</v>
      </c>
      <c r="B304" s="144">
        <v>68</v>
      </c>
      <c r="C304" s="143" t="s">
        <v>653</v>
      </c>
      <c r="D304" s="143" t="s">
        <v>706</v>
      </c>
      <c r="E304" s="145"/>
      <c r="F304" s="146" t="str">
        <f t="shared" si="4"/>
        <v>L.681.04</v>
      </c>
      <c r="G304" s="147" t="s">
        <v>1029</v>
      </c>
      <c r="H304" s="146" t="str">
        <f>VLOOKUP(I304,[1]Scheme!D:F,3,0)</f>
        <v>L10.01</v>
      </c>
      <c r="I304" s="147" t="s">
        <v>833</v>
      </c>
      <c r="J304" s="146" t="str">
        <f>VLOOKUP(K304,[1]Scheme!B:C,2,0)</f>
        <v>L10</v>
      </c>
      <c r="K304" s="147" t="s">
        <v>834</v>
      </c>
      <c r="L304" s="148"/>
    </row>
    <row r="305" spans="1:12" s="149" customFormat="1" ht="12">
      <c r="A305" s="143" t="s">
        <v>832</v>
      </c>
      <c r="B305" s="144">
        <v>68</v>
      </c>
      <c r="C305" s="143" t="s">
        <v>662</v>
      </c>
      <c r="D305" s="143"/>
      <c r="E305" s="145"/>
      <c r="F305" s="146" t="str">
        <f t="shared" si="4"/>
        <v>L.684</v>
      </c>
      <c r="G305" s="147" t="s">
        <v>1030</v>
      </c>
      <c r="H305" s="146" t="str">
        <f>VLOOKUP(I305,[1]Scheme!D:F,3,0)</f>
        <v>L10.02</v>
      </c>
      <c r="I305" s="147" t="s">
        <v>1031</v>
      </c>
      <c r="J305" s="146" t="str">
        <f>VLOOKUP(K305,[1]Scheme!B:C,2,0)</f>
        <v>L10</v>
      </c>
      <c r="K305" s="147" t="s">
        <v>834</v>
      </c>
      <c r="L305" s="148"/>
    </row>
    <row r="306" spans="1:12" s="149" customFormat="1" ht="12">
      <c r="A306" s="143" t="s">
        <v>832</v>
      </c>
      <c r="B306" s="144">
        <v>68</v>
      </c>
      <c r="C306" s="143" t="s">
        <v>662</v>
      </c>
      <c r="D306" s="143" t="s">
        <v>692</v>
      </c>
      <c r="E306" s="145"/>
      <c r="F306" s="146" t="str">
        <f t="shared" si="4"/>
        <v>L.684.01</v>
      </c>
      <c r="G306" s="147" t="s">
        <v>1032</v>
      </c>
      <c r="H306" s="146" t="str">
        <f>VLOOKUP(I306,[1]Scheme!D:F,3,0)</f>
        <v>L10.02</v>
      </c>
      <c r="I306" s="147" t="s">
        <v>1031</v>
      </c>
      <c r="J306" s="146" t="str">
        <f>VLOOKUP(K306,[1]Scheme!B:C,2,0)</f>
        <v>L10</v>
      </c>
      <c r="K306" s="147" t="s">
        <v>834</v>
      </c>
      <c r="L306" s="148"/>
    </row>
    <row r="307" spans="1:12" s="149" customFormat="1" ht="12">
      <c r="A307" s="143" t="s">
        <v>832</v>
      </c>
      <c r="B307" s="144">
        <v>68</v>
      </c>
      <c r="C307" s="143" t="s">
        <v>662</v>
      </c>
      <c r="D307" s="143" t="s">
        <v>698</v>
      </c>
      <c r="E307" s="145"/>
      <c r="F307" s="146" t="str">
        <f t="shared" ref="F307:F391" si="5">CONCATENATE(A307,".",B307&amp;C307,IF(D307="","",CONCATENATE(".",D307)))</f>
        <v>L.684.02</v>
      </c>
      <c r="G307" s="147" t="s">
        <v>1033</v>
      </c>
      <c r="H307" s="146" t="str">
        <f>VLOOKUP(I307,[1]Scheme!D:F,3,0)</f>
        <v>L10.02</v>
      </c>
      <c r="I307" s="147" t="s">
        <v>1031</v>
      </c>
      <c r="J307" s="146" t="str">
        <f>VLOOKUP(K307,[1]Scheme!B:C,2,0)</f>
        <v>L10</v>
      </c>
      <c r="K307" s="147" t="s">
        <v>834</v>
      </c>
      <c r="L307" s="148"/>
    </row>
    <row r="308" spans="1:12" s="149" customFormat="1" ht="12">
      <c r="A308" s="143" t="s">
        <v>832</v>
      </c>
      <c r="B308" s="144">
        <v>68</v>
      </c>
      <c r="C308" s="143" t="s">
        <v>662</v>
      </c>
      <c r="D308" s="143" t="s">
        <v>700</v>
      </c>
      <c r="E308" s="145"/>
      <c r="F308" s="146" t="str">
        <f t="shared" si="5"/>
        <v>L.684.03</v>
      </c>
      <c r="G308" s="147" t="s">
        <v>1034</v>
      </c>
      <c r="H308" s="146" t="str">
        <f>VLOOKUP(I308,[1]Scheme!D:F,3,0)</f>
        <v>L10.02</v>
      </c>
      <c r="I308" s="147" t="s">
        <v>1031</v>
      </c>
      <c r="J308" s="146" t="str">
        <f>VLOOKUP(K308,[1]Scheme!B:C,2,0)</f>
        <v>L10</v>
      </c>
      <c r="K308" s="147" t="s">
        <v>834</v>
      </c>
      <c r="L308" s="148"/>
    </row>
    <row r="309" spans="1:12" s="149" customFormat="1" ht="12">
      <c r="A309" s="143" t="s">
        <v>832</v>
      </c>
      <c r="B309" s="144">
        <v>68</v>
      </c>
      <c r="C309" s="143" t="s">
        <v>668</v>
      </c>
      <c r="D309" s="143"/>
      <c r="E309" s="145"/>
      <c r="F309" s="146" t="str">
        <f t="shared" si="5"/>
        <v>L.685</v>
      </c>
      <c r="G309" s="147" t="s">
        <v>859</v>
      </c>
      <c r="H309" s="146" t="str">
        <f>VLOOKUP(I309,[1]Scheme!D:F,3,0)</f>
        <v>L08.03</v>
      </c>
      <c r="I309" s="147" t="s">
        <v>853</v>
      </c>
      <c r="J309" s="146" t="str">
        <f>VLOOKUP(K309,[1]Scheme!B:C,2,0)</f>
        <v>L08</v>
      </c>
      <c r="K309" s="147" t="s">
        <v>846</v>
      </c>
      <c r="L309" s="148"/>
    </row>
    <row r="310" spans="1:12" s="149" customFormat="1" ht="12">
      <c r="A310" s="143" t="s">
        <v>650</v>
      </c>
      <c r="B310" s="144">
        <v>68</v>
      </c>
      <c r="C310" s="143" t="s">
        <v>668</v>
      </c>
      <c r="D310" s="143"/>
      <c r="E310" s="145"/>
      <c r="F310" s="146" t="str">
        <f t="shared" si="5"/>
        <v>A.685</v>
      </c>
      <c r="G310" s="147" t="s">
        <v>844</v>
      </c>
      <c r="H310" s="146" t="str">
        <f>VLOOKUP(I310,[1]Scheme!D:F,3,0)</f>
        <v>A13.01</v>
      </c>
      <c r="I310" s="147" t="s">
        <v>843</v>
      </c>
      <c r="J310" s="146" t="str">
        <f>VLOOKUP(K310,[1]Scheme!B:C,2,0)</f>
        <v>A13</v>
      </c>
      <c r="K310" s="147" t="s">
        <v>843</v>
      </c>
      <c r="L310" s="148"/>
    </row>
    <row r="311" spans="1:12" s="149" customFormat="1" ht="12">
      <c r="A311" s="143" t="s">
        <v>832</v>
      </c>
      <c r="B311" s="144">
        <v>68</v>
      </c>
      <c r="C311" s="143" t="s">
        <v>668</v>
      </c>
      <c r="D311" s="143" t="s">
        <v>692</v>
      </c>
      <c r="E311" s="145"/>
      <c r="F311" s="146" t="str">
        <f t="shared" si="5"/>
        <v>L.685.01</v>
      </c>
      <c r="G311" s="147" t="s">
        <v>1035</v>
      </c>
      <c r="H311" s="146" t="str">
        <f>VLOOKUP(I311,[1]Scheme!D:F,3,0)</f>
        <v>L08.03</v>
      </c>
      <c r="I311" s="147" t="s">
        <v>853</v>
      </c>
      <c r="J311" s="146" t="str">
        <f>VLOOKUP(K311,[1]Scheme!B:C,2,0)</f>
        <v>L08</v>
      </c>
      <c r="K311" s="147" t="s">
        <v>846</v>
      </c>
      <c r="L311" s="148"/>
    </row>
    <row r="312" spans="1:12" s="149" customFormat="1" ht="12">
      <c r="A312" s="143" t="s">
        <v>832</v>
      </c>
      <c r="B312" s="144">
        <v>68</v>
      </c>
      <c r="C312" s="143" t="s">
        <v>668</v>
      </c>
      <c r="D312" s="143" t="s">
        <v>698</v>
      </c>
      <c r="E312" s="145"/>
      <c r="F312" s="146" t="str">
        <f t="shared" si="5"/>
        <v>L.685.02</v>
      </c>
      <c r="G312" s="147" t="s">
        <v>1036</v>
      </c>
      <c r="H312" s="146" t="str">
        <f>VLOOKUP(I312,[1]Scheme!D:F,3,0)</f>
        <v>L07.01</v>
      </c>
      <c r="I312" s="147" t="s">
        <v>1037</v>
      </c>
      <c r="J312" s="146" t="str">
        <f>VLOOKUP(K312,[1]Scheme!B:C,2,0)</f>
        <v>L07</v>
      </c>
      <c r="K312" s="147" t="s">
        <v>1037</v>
      </c>
      <c r="L312" s="148"/>
    </row>
    <row r="313" spans="1:12" s="149" customFormat="1" ht="12">
      <c r="A313" s="143" t="s">
        <v>832</v>
      </c>
      <c r="B313" s="144">
        <v>68</v>
      </c>
      <c r="C313" s="143" t="s">
        <v>668</v>
      </c>
      <c r="D313" s="143" t="s">
        <v>700</v>
      </c>
      <c r="E313" s="145"/>
      <c r="F313" s="146" t="str">
        <f t="shared" si="5"/>
        <v>L.685.03</v>
      </c>
      <c r="G313" s="147" t="s">
        <v>1038</v>
      </c>
      <c r="H313" s="146" t="str">
        <f>VLOOKUP(I313,[1]Scheme!D:F,3,0)</f>
        <v>L08.03</v>
      </c>
      <c r="I313" s="147" t="s">
        <v>853</v>
      </c>
      <c r="J313" s="146" t="str">
        <f>VLOOKUP(K313,[1]Scheme!B:C,2,0)</f>
        <v>L08</v>
      </c>
      <c r="K313" s="147" t="s">
        <v>846</v>
      </c>
      <c r="L313" s="148"/>
    </row>
    <row r="314" spans="1:12" s="149" customFormat="1" ht="12">
      <c r="A314" s="143" t="s">
        <v>832</v>
      </c>
      <c r="B314" s="144">
        <v>68</v>
      </c>
      <c r="C314" s="143" t="s">
        <v>668</v>
      </c>
      <c r="D314" s="143" t="s">
        <v>706</v>
      </c>
      <c r="E314" s="145"/>
      <c r="F314" s="146" t="str">
        <f>CONCATENATE(A314,".",B314&amp;C314,IF(D314="","",CONCATENATE(".",D314)))</f>
        <v>L.685.04</v>
      </c>
      <c r="G314" s="147" t="s">
        <v>1039</v>
      </c>
      <c r="H314" s="146" t="str">
        <f>VLOOKUP(I314,[1]Scheme!D:F,3,0)</f>
        <v>L08.03</v>
      </c>
      <c r="I314" s="147" t="s">
        <v>853</v>
      </c>
      <c r="J314" s="146" t="str">
        <f>VLOOKUP(K314,[1]Scheme!B:C,2,0)</f>
        <v>L08</v>
      </c>
      <c r="K314" s="147" t="s">
        <v>846</v>
      </c>
      <c r="L314" s="148"/>
    </row>
    <row r="315" spans="1:12" s="149" customFormat="1" ht="12">
      <c r="A315" s="143" t="s">
        <v>832</v>
      </c>
      <c r="B315" s="144">
        <v>69</v>
      </c>
      <c r="C315" s="143"/>
      <c r="D315" s="143"/>
      <c r="E315" s="145"/>
      <c r="F315" s="146" t="str">
        <f t="shared" si="5"/>
        <v>L.69</v>
      </c>
      <c r="G315" s="147" t="s">
        <v>1040</v>
      </c>
      <c r="H315" s="146" t="str">
        <f>VLOOKUP(I315,[1]Scheme!D:F,3,0)</f>
        <v>L10.06</v>
      </c>
      <c r="I315" s="147" t="s">
        <v>1040</v>
      </c>
      <c r="J315" s="146" t="str">
        <f>VLOOKUP(K315,[1]Scheme!B:C,2,0)</f>
        <v>L10</v>
      </c>
      <c r="K315" s="147" t="s">
        <v>834</v>
      </c>
      <c r="L315" s="148"/>
    </row>
    <row r="316" spans="1:12" s="149" customFormat="1" ht="12">
      <c r="A316" s="143" t="s">
        <v>727</v>
      </c>
      <c r="B316" s="144">
        <v>70</v>
      </c>
      <c r="C316" s="143"/>
      <c r="D316" s="143"/>
      <c r="E316" s="145"/>
      <c r="F316" s="146" t="str">
        <f t="shared" si="5"/>
        <v>P.70</v>
      </c>
      <c r="G316" s="147" t="s">
        <v>1041</v>
      </c>
      <c r="H316" s="146" t="str">
        <f>VLOOKUP(I316,[1]Scheme!D:F,3,0)</f>
        <v>P01.01</v>
      </c>
      <c r="I316" s="147" t="s">
        <v>1041</v>
      </c>
      <c r="J316" s="146" t="str">
        <f>VLOOKUP(K316,[1]Scheme!B:C,2,0)</f>
        <v>P01</v>
      </c>
      <c r="K316" s="147" t="s">
        <v>1042</v>
      </c>
      <c r="L316" s="148"/>
    </row>
    <row r="317" spans="1:12" s="149" customFormat="1" ht="12">
      <c r="A317" s="143" t="s">
        <v>727</v>
      </c>
      <c r="B317" s="144">
        <v>70</v>
      </c>
      <c r="C317" s="143"/>
      <c r="D317" s="143" t="s">
        <v>1043</v>
      </c>
      <c r="E317" s="145"/>
      <c r="F317" s="146" t="str">
        <f>CONCATENATE(A317,".",B317&amp;C317,IF(D317="","",CONCATENATE(".",D317)))</f>
        <v>P.70.FV</v>
      </c>
      <c r="G317" s="147" t="s">
        <v>1044</v>
      </c>
      <c r="H317" s="146" t="str">
        <f>VLOOKUP(I317,[1]Scheme!D:F,3,0)</f>
        <v>P07.01</v>
      </c>
      <c r="I317" s="147" t="s">
        <v>1045</v>
      </c>
      <c r="J317" s="146" t="str">
        <f>VLOOKUP(K317,[1]Scheme!B:C,2,0)</f>
        <v>P07</v>
      </c>
      <c r="K317" s="147" t="s">
        <v>1045</v>
      </c>
      <c r="L317" s="148"/>
    </row>
    <row r="318" spans="1:12" s="149" customFormat="1" ht="12">
      <c r="A318" s="143" t="s">
        <v>727</v>
      </c>
      <c r="B318" s="144">
        <v>70</v>
      </c>
      <c r="C318" s="143" t="s">
        <v>653</v>
      </c>
      <c r="D318" s="143"/>
      <c r="E318" s="145"/>
      <c r="F318" s="146" t="str">
        <f t="shared" si="5"/>
        <v>P.701</v>
      </c>
      <c r="G318" s="147" t="s">
        <v>1046</v>
      </c>
      <c r="H318" s="146" t="str">
        <f>VLOOKUP(I318,[1]Scheme!D:F,3,0)</f>
        <v>P01.02</v>
      </c>
      <c r="I318" s="147" t="s">
        <v>1046</v>
      </c>
      <c r="J318" s="146" t="str">
        <f>VLOOKUP(K318,[1]Scheme!B:C,2,0)</f>
        <v>P01</v>
      </c>
      <c r="K318" s="147" t="s">
        <v>1042</v>
      </c>
      <c r="L318" s="148"/>
    </row>
    <row r="319" spans="1:12" s="149" customFormat="1" ht="12">
      <c r="A319" s="143" t="s">
        <v>727</v>
      </c>
      <c r="B319" s="144">
        <v>70</v>
      </c>
      <c r="C319" s="143" t="s">
        <v>653</v>
      </c>
      <c r="D319" s="143" t="s">
        <v>692</v>
      </c>
      <c r="E319" s="145"/>
      <c r="F319" s="146" t="str">
        <f t="shared" si="5"/>
        <v>P.701.01</v>
      </c>
      <c r="G319" s="147" t="s">
        <v>1047</v>
      </c>
      <c r="H319" s="146" t="str">
        <f>VLOOKUP(I319,[1]Scheme!D:F,3,0)</f>
        <v>P01.02</v>
      </c>
      <c r="I319" s="147" t="s">
        <v>1046</v>
      </c>
      <c r="J319" s="146" t="str">
        <f>VLOOKUP(K319,[1]Scheme!B:C,2,0)</f>
        <v>P01</v>
      </c>
      <c r="K319" s="147" t="s">
        <v>1042</v>
      </c>
      <c r="L319" s="148"/>
    </row>
    <row r="320" spans="1:12" s="149" customFormat="1" ht="12">
      <c r="A320" s="143" t="s">
        <v>727</v>
      </c>
      <c r="B320" s="144">
        <v>70</v>
      </c>
      <c r="C320" s="143" t="s">
        <v>653</v>
      </c>
      <c r="D320" s="143" t="s">
        <v>698</v>
      </c>
      <c r="E320" s="145"/>
      <c r="F320" s="146" t="str">
        <f t="shared" si="5"/>
        <v>P.701.02</v>
      </c>
      <c r="G320" s="147" t="s">
        <v>1048</v>
      </c>
      <c r="H320" s="146" t="str">
        <f>VLOOKUP(I320,[1]Scheme!D:F,3,0)</f>
        <v>P01.02</v>
      </c>
      <c r="I320" s="147" t="s">
        <v>1046</v>
      </c>
      <c r="J320" s="146" t="str">
        <f>VLOOKUP(K320,[1]Scheme!B:C,2,0)</f>
        <v>P01</v>
      </c>
      <c r="K320" s="147" t="s">
        <v>1042</v>
      </c>
      <c r="L320" s="148"/>
    </row>
    <row r="321" spans="1:12" s="149" customFormat="1" ht="12">
      <c r="A321" s="143" t="s">
        <v>727</v>
      </c>
      <c r="B321" s="144">
        <v>70</v>
      </c>
      <c r="C321" s="143" t="s">
        <v>653</v>
      </c>
      <c r="D321" s="143" t="s">
        <v>700</v>
      </c>
      <c r="E321" s="145"/>
      <c r="F321" s="146" t="str">
        <f t="shared" si="5"/>
        <v>P.701.03</v>
      </c>
      <c r="G321" s="147" t="s">
        <v>1049</v>
      </c>
      <c r="H321" s="146" t="str">
        <f>VLOOKUP(I321,[1]Scheme!D:F,3,0)</f>
        <v>P01.02</v>
      </c>
      <c r="I321" s="147" t="s">
        <v>1046</v>
      </c>
      <c r="J321" s="146" t="str">
        <f>VLOOKUP(K321,[1]Scheme!B:C,2,0)</f>
        <v>P01</v>
      </c>
      <c r="K321" s="147" t="s">
        <v>1042</v>
      </c>
      <c r="L321" s="148"/>
    </row>
    <row r="322" spans="1:12" s="149" customFormat="1" ht="12">
      <c r="A322" s="143" t="s">
        <v>727</v>
      </c>
      <c r="B322" s="144">
        <v>70</v>
      </c>
      <c r="C322" s="143" t="s">
        <v>653</v>
      </c>
      <c r="D322" s="143" t="s">
        <v>706</v>
      </c>
      <c r="E322" s="145"/>
      <c r="F322" s="146" t="str">
        <f t="shared" si="5"/>
        <v>P.701.04</v>
      </c>
      <c r="G322" s="147" t="s">
        <v>1050</v>
      </c>
      <c r="H322" s="146" t="str">
        <f>VLOOKUP(I322,[1]Scheme!D:F,3,0)</f>
        <v>P01.02</v>
      </c>
      <c r="I322" s="147" t="s">
        <v>1046</v>
      </c>
      <c r="J322" s="146" t="str">
        <f>VLOOKUP(K322,[1]Scheme!B:C,2,0)</f>
        <v>P01</v>
      </c>
      <c r="K322" s="147" t="s">
        <v>1042</v>
      </c>
      <c r="L322" s="148"/>
    </row>
    <row r="323" spans="1:12" s="149" customFormat="1" ht="12">
      <c r="A323" s="143" t="s">
        <v>727</v>
      </c>
      <c r="B323" s="144">
        <v>70</v>
      </c>
      <c r="C323" s="143" t="s">
        <v>653</v>
      </c>
      <c r="D323" s="143" t="s">
        <v>708</v>
      </c>
      <c r="E323" s="145"/>
      <c r="F323" s="146" t="str">
        <f t="shared" si="5"/>
        <v>P.701.05</v>
      </c>
      <c r="G323" s="147" t="s">
        <v>1051</v>
      </c>
      <c r="H323" s="146" t="str">
        <f>VLOOKUP(I323,[1]Scheme!D:F,3,0)</f>
        <v>P01.02</v>
      </c>
      <c r="I323" s="147" t="s">
        <v>1046</v>
      </c>
      <c r="J323" s="146" t="str">
        <f>VLOOKUP(K323,[1]Scheme!B:C,2,0)</f>
        <v>P01</v>
      </c>
      <c r="K323" s="147" t="s">
        <v>1042</v>
      </c>
      <c r="L323" s="148"/>
    </row>
    <row r="324" spans="1:12" s="149" customFormat="1" ht="12">
      <c r="A324" s="143" t="s">
        <v>727</v>
      </c>
      <c r="B324" s="144">
        <v>70</v>
      </c>
      <c r="C324" s="143" t="s">
        <v>653</v>
      </c>
      <c r="D324" s="143" t="s">
        <v>710</v>
      </c>
      <c r="E324" s="145"/>
      <c r="F324" s="146" t="str">
        <f t="shared" si="5"/>
        <v>P.701.06</v>
      </c>
      <c r="G324" s="147" t="s">
        <v>1052</v>
      </c>
      <c r="H324" s="146" t="str">
        <f>VLOOKUP(I324,[1]Scheme!D:F,3,0)</f>
        <v>P01.02</v>
      </c>
      <c r="I324" s="147" t="s">
        <v>1046</v>
      </c>
      <c r="J324" s="146" t="str">
        <f>VLOOKUP(K324,[1]Scheme!B:C,2,0)</f>
        <v>P01</v>
      </c>
      <c r="K324" s="147" t="s">
        <v>1042</v>
      </c>
      <c r="L324" s="148"/>
    </row>
    <row r="325" spans="1:12" s="149" customFormat="1" ht="12">
      <c r="A325" s="143" t="s">
        <v>727</v>
      </c>
      <c r="B325" s="144">
        <v>70</v>
      </c>
      <c r="C325" s="143" t="s">
        <v>653</v>
      </c>
      <c r="D325" s="143" t="s">
        <v>811</v>
      </c>
      <c r="E325" s="145"/>
      <c r="F325" s="146" t="str">
        <f t="shared" si="5"/>
        <v>P.701.07</v>
      </c>
      <c r="G325" s="147"/>
      <c r="H325" s="146" t="str">
        <f>VLOOKUP(I325,[1]Scheme!D:F,3,0)</f>
        <v>P01.02</v>
      </c>
      <c r="I325" s="147" t="s">
        <v>1046</v>
      </c>
      <c r="J325" s="146" t="str">
        <f>VLOOKUP(K325,[1]Scheme!B:C,2,0)</f>
        <v>P01</v>
      </c>
      <c r="K325" s="147" t="s">
        <v>1042</v>
      </c>
      <c r="L325" s="148"/>
    </row>
    <row r="326" spans="1:12" s="149" customFormat="1" ht="12">
      <c r="A326" s="143" t="s">
        <v>727</v>
      </c>
      <c r="B326" s="144">
        <v>70</v>
      </c>
      <c r="C326" s="143" t="s">
        <v>653</v>
      </c>
      <c r="D326" s="143" t="s">
        <v>813</v>
      </c>
      <c r="E326" s="145"/>
      <c r="F326" s="146" t="str">
        <f t="shared" si="5"/>
        <v>P.701.08</v>
      </c>
      <c r="G326" s="147"/>
      <c r="H326" s="146" t="str">
        <f>VLOOKUP(I326,[1]Scheme!D:F,3,0)</f>
        <v>P01.02</v>
      </c>
      <c r="I326" s="147" t="s">
        <v>1046</v>
      </c>
      <c r="J326" s="146" t="str">
        <f>VLOOKUP(K326,[1]Scheme!B:C,2,0)</f>
        <v>P01</v>
      </c>
      <c r="K326" s="147" t="s">
        <v>1042</v>
      </c>
      <c r="L326" s="148"/>
    </row>
    <row r="327" spans="1:12" s="149" customFormat="1" ht="12">
      <c r="A327" s="143" t="s">
        <v>727</v>
      </c>
      <c r="B327" s="144">
        <v>70</v>
      </c>
      <c r="C327" s="143" t="s">
        <v>653</v>
      </c>
      <c r="D327" s="143" t="s">
        <v>815</v>
      </c>
      <c r="E327" s="145"/>
      <c r="F327" s="146" t="str">
        <f t="shared" si="5"/>
        <v>P.701.09</v>
      </c>
      <c r="G327" s="147"/>
      <c r="H327" s="146" t="str">
        <f>VLOOKUP(I327,[1]Scheme!D:F,3,0)</f>
        <v>P01.02</v>
      </c>
      <c r="I327" s="147" t="s">
        <v>1046</v>
      </c>
      <c r="J327" s="146" t="str">
        <f>VLOOKUP(K327,[1]Scheme!B:C,2,0)</f>
        <v>P01</v>
      </c>
      <c r="K327" s="147" t="s">
        <v>1042</v>
      </c>
      <c r="L327" s="148"/>
    </row>
    <row r="328" spans="1:12" s="149" customFormat="1" ht="12">
      <c r="A328" s="143" t="s">
        <v>727</v>
      </c>
      <c r="B328" s="144">
        <v>70</v>
      </c>
      <c r="C328" s="143" t="s">
        <v>653</v>
      </c>
      <c r="D328" s="143" t="s">
        <v>499</v>
      </c>
      <c r="E328" s="145"/>
      <c r="F328" s="146" t="str">
        <f t="shared" si="5"/>
        <v>P.701.10</v>
      </c>
      <c r="G328" s="147"/>
      <c r="H328" s="146" t="str">
        <f>VLOOKUP(I328,[1]Scheme!D:F,3,0)</f>
        <v>P01.02</v>
      </c>
      <c r="I328" s="147" t="s">
        <v>1046</v>
      </c>
      <c r="J328" s="146" t="str">
        <f>VLOOKUP(K328,[1]Scheme!B:C,2,0)</f>
        <v>P01</v>
      </c>
      <c r="K328" s="147" t="s">
        <v>1042</v>
      </c>
      <c r="L328" s="148"/>
    </row>
    <row r="329" spans="1:12" s="149" customFormat="1" ht="12">
      <c r="A329" s="143" t="s">
        <v>727</v>
      </c>
      <c r="B329" s="144">
        <v>70</v>
      </c>
      <c r="C329" s="143" t="s">
        <v>653</v>
      </c>
      <c r="D329" s="143" t="s">
        <v>504</v>
      </c>
      <c r="E329" s="145"/>
      <c r="F329" s="146" t="str">
        <f t="shared" si="5"/>
        <v>P.701.11</v>
      </c>
      <c r="G329" s="147"/>
      <c r="H329" s="146" t="str">
        <f>VLOOKUP(I329,[1]Scheme!D:F,3,0)</f>
        <v>P01.02</v>
      </c>
      <c r="I329" s="147" t="s">
        <v>1046</v>
      </c>
      <c r="J329" s="146" t="str">
        <f>VLOOKUP(K329,[1]Scheme!B:C,2,0)</f>
        <v>P01</v>
      </c>
      <c r="K329" s="147" t="s">
        <v>1042</v>
      </c>
      <c r="L329" s="148"/>
    </row>
    <row r="330" spans="1:12" s="149" customFormat="1" ht="12">
      <c r="A330" s="143" t="s">
        <v>727</v>
      </c>
      <c r="B330" s="144">
        <v>70</v>
      </c>
      <c r="C330" s="143" t="s">
        <v>653</v>
      </c>
      <c r="D330" s="143" t="s">
        <v>508</v>
      </c>
      <c r="E330" s="145"/>
      <c r="F330" s="146" t="str">
        <f t="shared" si="5"/>
        <v>P.701.12</v>
      </c>
      <c r="G330" s="147"/>
      <c r="H330" s="146" t="str">
        <f>VLOOKUP(I330,[1]Scheme!D:F,3,0)</f>
        <v>P01.02</v>
      </c>
      <c r="I330" s="147" t="s">
        <v>1046</v>
      </c>
      <c r="J330" s="146" t="str">
        <f>VLOOKUP(K330,[1]Scheme!B:C,2,0)</f>
        <v>P01</v>
      </c>
      <c r="K330" s="147" t="s">
        <v>1042</v>
      </c>
      <c r="L330" s="148"/>
    </row>
    <row r="331" spans="1:12" s="149" customFormat="1" ht="12">
      <c r="A331" s="143" t="s">
        <v>727</v>
      </c>
      <c r="B331" s="144">
        <v>70</v>
      </c>
      <c r="C331" s="143" t="s">
        <v>653</v>
      </c>
      <c r="D331" s="143" t="s">
        <v>511</v>
      </c>
      <c r="E331" s="145"/>
      <c r="F331" s="146" t="str">
        <f t="shared" si="5"/>
        <v>P.701.13</v>
      </c>
      <c r="G331" s="147"/>
      <c r="H331" s="146" t="str">
        <f>VLOOKUP(I331,[1]Scheme!D:F,3,0)</f>
        <v>P01.02</v>
      </c>
      <c r="I331" s="147" t="s">
        <v>1046</v>
      </c>
      <c r="J331" s="146" t="str">
        <f>VLOOKUP(K331,[1]Scheme!B:C,2,0)</f>
        <v>P01</v>
      </c>
      <c r="K331" s="147" t="s">
        <v>1042</v>
      </c>
      <c r="L331" s="148"/>
    </row>
    <row r="332" spans="1:12" s="149" customFormat="1" ht="12">
      <c r="A332" s="143" t="s">
        <v>727</v>
      </c>
      <c r="B332" s="144">
        <v>70</v>
      </c>
      <c r="C332" s="143" t="s">
        <v>653</v>
      </c>
      <c r="D332" s="143" t="s">
        <v>1053</v>
      </c>
      <c r="E332" s="145"/>
      <c r="F332" s="146" t="str">
        <f t="shared" si="5"/>
        <v>P.701.14</v>
      </c>
      <c r="G332" s="147"/>
      <c r="H332" s="146" t="str">
        <f>VLOOKUP(I332,[1]Scheme!D:F,3,0)</f>
        <v>P01.02</v>
      </c>
      <c r="I332" s="147" t="s">
        <v>1046</v>
      </c>
      <c r="J332" s="146" t="str">
        <f>VLOOKUP(K332,[1]Scheme!B:C,2,0)</f>
        <v>P01</v>
      </c>
      <c r="K332" s="147" t="s">
        <v>1042</v>
      </c>
      <c r="L332" s="148"/>
    </row>
    <row r="333" spans="1:12" s="149" customFormat="1" ht="12">
      <c r="A333" s="143" t="s">
        <v>727</v>
      </c>
      <c r="B333" s="144">
        <v>70</v>
      </c>
      <c r="C333" s="143" t="s">
        <v>653</v>
      </c>
      <c r="D333" s="143" t="s">
        <v>519</v>
      </c>
      <c r="E333" s="145"/>
      <c r="F333" s="146" t="str">
        <f t="shared" si="5"/>
        <v>P.701.15</v>
      </c>
      <c r="G333" s="147"/>
      <c r="H333" s="146" t="str">
        <f>VLOOKUP(I333,[1]Scheme!D:F,3,0)</f>
        <v>P01.02</v>
      </c>
      <c r="I333" s="147" t="s">
        <v>1046</v>
      </c>
      <c r="J333" s="146" t="str">
        <f>VLOOKUP(K333,[1]Scheme!B:C,2,0)</f>
        <v>P01</v>
      </c>
      <c r="K333" s="147" t="s">
        <v>1042</v>
      </c>
      <c r="L333" s="148"/>
    </row>
    <row r="334" spans="1:12" s="149" customFormat="1" ht="12">
      <c r="A334" s="143" t="s">
        <v>727</v>
      </c>
      <c r="B334" s="144">
        <v>70</v>
      </c>
      <c r="C334" s="143" t="s">
        <v>653</v>
      </c>
      <c r="D334" s="143" t="s">
        <v>1054</v>
      </c>
      <c r="E334" s="145"/>
      <c r="F334" s="146" t="str">
        <f t="shared" si="5"/>
        <v>P.701.16</v>
      </c>
      <c r="G334" s="147"/>
      <c r="H334" s="146" t="str">
        <f>VLOOKUP(I334,[1]Scheme!D:F,3,0)</f>
        <v>P01.02</v>
      </c>
      <c r="I334" s="147" t="s">
        <v>1046</v>
      </c>
      <c r="J334" s="146" t="str">
        <f>VLOOKUP(K334,[1]Scheme!B:C,2,0)</f>
        <v>P01</v>
      </c>
      <c r="K334" s="147" t="s">
        <v>1042</v>
      </c>
      <c r="L334" s="148"/>
    </row>
    <row r="335" spans="1:12" s="149" customFormat="1" ht="12">
      <c r="A335" s="143" t="s">
        <v>727</v>
      </c>
      <c r="B335" s="144">
        <v>70</v>
      </c>
      <c r="C335" s="143" t="s">
        <v>653</v>
      </c>
      <c r="D335" s="143" t="s">
        <v>1055</v>
      </c>
      <c r="E335" s="145"/>
      <c r="F335" s="146" t="str">
        <f t="shared" si="5"/>
        <v>P.701.17</v>
      </c>
      <c r="G335" s="147"/>
      <c r="H335" s="146" t="str">
        <f>VLOOKUP(I335,[1]Scheme!D:F,3,0)</f>
        <v>P01.02</v>
      </c>
      <c r="I335" s="147" t="s">
        <v>1046</v>
      </c>
      <c r="J335" s="146" t="str">
        <f>VLOOKUP(K335,[1]Scheme!B:C,2,0)</f>
        <v>P01</v>
      </c>
      <c r="K335" s="147" t="s">
        <v>1042</v>
      </c>
      <c r="L335" s="148"/>
    </row>
    <row r="336" spans="1:12" s="149" customFormat="1" ht="12">
      <c r="A336" s="143" t="s">
        <v>727</v>
      </c>
      <c r="B336" s="144">
        <v>70</v>
      </c>
      <c r="C336" s="143" t="s">
        <v>653</v>
      </c>
      <c r="D336" s="143" t="s">
        <v>1056</v>
      </c>
      <c r="E336" s="145"/>
      <c r="F336" s="146" t="str">
        <f t="shared" si="5"/>
        <v>P.701.18</v>
      </c>
      <c r="G336" s="147"/>
      <c r="H336" s="146" t="str">
        <f>VLOOKUP(I336,[1]Scheme!D:F,3,0)</f>
        <v>P01.02</v>
      </c>
      <c r="I336" s="147" t="s">
        <v>1046</v>
      </c>
      <c r="J336" s="146" t="str">
        <f>VLOOKUP(K336,[1]Scheme!B:C,2,0)</f>
        <v>P01</v>
      </c>
      <c r="K336" s="147" t="s">
        <v>1042</v>
      </c>
      <c r="L336" s="148"/>
    </row>
    <row r="337" spans="1:14" s="149" customFormat="1" ht="12">
      <c r="A337" s="143" t="s">
        <v>727</v>
      </c>
      <c r="B337" s="144">
        <v>70</v>
      </c>
      <c r="C337" s="143" t="s">
        <v>653</v>
      </c>
      <c r="D337" s="143" t="s">
        <v>1057</v>
      </c>
      <c r="E337" s="145"/>
      <c r="F337" s="146" t="str">
        <f t="shared" si="5"/>
        <v>P.701.19</v>
      </c>
      <c r="G337" s="147"/>
      <c r="H337" s="146" t="str">
        <f>VLOOKUP(I337,[1]Scheme!D:F,3,0)</f>
        <v>P01.02</v>
      </c>
      <c r="I337" s="147" t="s">
        <v>1046</v>
      </c>
      <c r="J337" s="146" t="str">
        <f>VLOOKUP(K337,[1]Scheme!B:C,2,0)</f>
        <v>P01</v>
      </c>
      <c r="K337" s="147" t="s">
        <v>1042</v>
      </c>
      <c r="L337" s="148"/>
    </row>
    <row r="338" spans="1:14" s="149" customFormat="1" ht="12">
      <c r="A338" s="143" t="s">
        <v>727</v>
      </c>
      <c r="B338" s="144">
        <v>70</v>
      </c>
      <c r="C338" s="143" t="s">
        <v>653</v>
      </c>
      <c r="D338" s="143" t="s">
        <v>1058</v>
      </c>
      <c r="E338" s="145"/>
      <c r="F338" s="146" t="str">
        <f t="shared" si="5"/>
        <v>P.701.20</v>
      </c>
      <c r="G338" s="147" t="s">
        <v>1059</v>
      </c>
      <c r="H338" s="146" t="str">
        <f>VLOOKUP(I338,[1]Scheme!D:F,3,0)</f>
        <v>P01.02</v>
      </c>
      <c r="I338" s="147" t="s">
        <v>1046</v>
      </c>
      <c r="J338" s="146" t="str">
        <f>VLOOKUP(K338,[1]Scheme!B:C,2,0)</f>
        <v>P01</v>
      </c>
      <c r="K338" s="147" t="s">
        <v>1042</v>
      </c>
      <c r="L338" s="148"/>
    </row>
    <row r="339" spans="1:14" s="149" customFormat="1" ht="12">
      <c r="A339" s="143" t="s">
        <v>727</v>
      </c>
      <c r="B339" s="144">
        <v>70</v>
      </c>
      <c r="C339" s="143" t="s">
        <v>658</v>
      </c>
      <c r="D339" s="143"/>
      <c r="E339" s="145"/>
      <c r="F339" s="146" t="str">
        <f t="shared" si="5"/>
        <v>P.702</v>
      </c>
      <c r="G339" s="147" t="s">
        <v>1060</v>
      </c>
      <c r="H339" s="146" t="str">
        <f>VLOOKUP(I339,[1]Scheme!D:F,3,0)</f>
        <v>P01.03</v>
      </c>
      <c r="I339" s="147" t="s">
        <v>1060</v>
      </c>
      <c r="J339" s="146" t="str">
        <f>VLOOKUP(K339,[1]Scheme!B:C,2,0)</f>
        <v>P01</v>
      </c>
      <c r="K339" s="147" t="s">
        <v>1042</v>
      </c>
      <c r="L339" s="148"/>
    </row>
    <row r="340" spans="1:14" s="149" customFormat="1" ht="12">
      <c r="A340" s="143" t="s">
        <v>727</v>
      </c>
      <c r="B340" s="144">
        <v>70</v>
      </c>
      <c r="C340" s="143" t="s">
        <v>658</v>
      </c>
      <c r="D340" s="143" t="s">
        <v>692</v>
      </c>
      <c r="E340" s="145"/>
      <c r="F340" s="146" t="str">
        <f t="shared" si="5"/>
        <v>P.702.01</v>
      </c>
      <c r="G340" s="147" t="s">
        <v>1061</v>
      </c>
      <c r="H340" s="146" t="str">
        <f>VLOOKUP(I340,[1]Scheme!D:F,3,0)</f>
        <v>P01.03</v>
      </c>
      <c r="I340" s="147" t="s">
        <v>1060</v>
      </c>
      <c r="J340" s="146" t="str">
        <f>VLOOKUP(K340,[1]Scheme!B:C,2,0)</f>
        <v>P01</v>
      </c>
      <c r="K340" s="147" t="s">
        <v>1042</v>
      </c>
      <c r="L340" s="148"/>
    </row>
    <row r="341" spans="1:14" s="149" customFormat="1" ht="12">
      <c r="A341" s="143" t="s">
        <v>727</v>
      </c>
      <c r="B341" s="144">
        <v>70</v>
      </c>
      <c r="C341" s="143" t="s">
        <v>658</v>
      </c>
      <c r="D341" s="143" t="s">
        <v>698</v>
      </c>
      <c r="E341" s="145"/>
      <c r="F341" s="146" t="str">
        <f t="shared" si="5"/>
        <v>P.702.02</v>
      </c>
      <c r="G341" s="147" t="s">
        <v>1062</v>
      </c>
      <c r="H341" s="146" t="str">
        <f>VLOOKUP(I341,[1]Scheme!D:F,3,0)</f>
        <v>P01.03</v>
      </c>
      <c r="I341" s="147" t="s">
        <v>1060</v>
      </c>
      <c r="J341" s="146" t="str">
        <f>VLOOKUP(K341,[1]Scheme!B:C,2,0)</f>
        <v>P01</v>
      </c>
      <c r="K341" s="147" t="s">
        <v>1042</v>
      </c>
      <c r="L341" s="148"/>
    </row>
    <row r="342" spans="1:14" s="149" customFormat="1" ht="12">
      <c r="A342" s="143" t="s">
        <v>727</v>
      </c>
      <c r="B342" s="144">
        <v>70</v>
      </c>
      <c r="C342" s="143" t="s">
        <v>658</v>
      </c>
      <c r="D342" s="143" t="s">
        <v>700</v>
      </c>
      <c r="E342" s="145"/>
      <c r="F342" s="146" t="str">
        <f t="shared" si="5"/>
        <v>P.702.03</v>
      </c>
      <c r="G342" s="147" t="s">
        <v>1063</v>
      </c>
      <c r="H342" s="146" t="str">
        <f>VLOOKUP(I342,[1]Scheme!D:F,3,0)</f>
        <v>P01.03</v>
      </c>
      <c r="I342" s="147" t="s">
        <v>1060</v>
      </c>
      <c r="J342" s="146" t="str">
        <f>VLOOKUP(K342,[1]Scheme!B:C,2,0)</f>
        <v>P01</v>
      </c>
      <c r="K342" s="147" t="s">
        <v>1042</v>
      </c>
      <c r="L342" s="148"/>
    </row>
    <row r="343" spans="1:14" s="149" customFormat="1" ht="12">
      <c r="A343" s="143" t="s">
        <v>727</v>
      </c>
      <c r="B343" s="144">
        <v>70</v>
      </c>
      <c r="C343" s="143" t="s">
        <v>660</v>
      </c>
      <c r="D343" s="143"/>
      <c r="E343" s="145"/>
      <c r="F343" s="146" t="str">
        <f t="shared" si="5"/>
        <v>P.703</v>
      </c>
      <c r="G343" s="147" t="s">
        <v>1064</v>
      </c>
      <c r="H343" s="146" t="str">
        <f>VLOOKUP(I343,[1]Scheme!D:F,3,0)</f>
        <v>P01.04</v>
      </c>
      <c r="I343" s="147" t="s">
        <v>1064</v>
      </c>
      <c r="J343" s="146" t="str">
        <f>VLOOKUP(K343,[1]Scheme!B:C,2,0)</f>
        <v>P01</v>
      </c>
      <c r="K343" s="147" t="s">
        <v>1042</v>
      </c>
      <c r="L343" s="148"/>
    </row>
    <row r="344" spans="1:14" s="149" customFormat="1" ht="12">
      <c r="A344" s="143" t="s">
        <v>727</v>
      </c>
      <c r="B344" s="144">
        <v>70</v>
      </c>
      <c r="C344" s="143" t="s">
        <v>660</v>
      </c>
      <c r="D344" s="143" t="s">
        <v>692</v>
      </c>
      <c r="E344" s="145"/>
      <c r="F344" s="146" t="str">
        <f t="shared" si="5"/>
        <v>P.703.01</v>
      </c>
      <c r="G344" s="147" t="s">
        <v>1065</v>
      </c>
      <c r="H344" s="146" t="str">
        <f>VLOOKUP(I344,[1]Scheme!D:F,3,0)</f>
        <v>P01.04</v>
      </c>
      <c r="I344" s="147" t="s">
        <v>1064</v>
      </c>
      <c r="J344" s="146" t="str">
        <f>VLOOKUP(K344,[1]Scheme!B:C,2,0)</f>
        <v>P01</v>
      </c>
      <c r="K344" s="147" t="s">
        <v>1042</v>
      </c>
      <c r="L344" s="148"/>
    </row>
    <row r="345" spans="1:14" s="149" customFormat="1" ht="12">
      <c r="A345" s="143" t="s">
        <v>727</v>
      </c>
      <c r="B345" s="144">
        <v>70</v>
      </c>
      <c r="C345" s="143" t="s">
        <v>660</v>
      </c>
      <c r="D345" s="143" t="s">
        <v>698</v>
      </c>
      <c r="E345" s="145"/>
      <c r="F345" s="146" t="str">
        <f t="shared" si="5"/>
        <v>P.703.02</v>
      </c>
      <c r="G345" s="147" t="s">
        <v>1066</v>
      </c>
      <c r="H345" s="146" t="str">
        <f>VLOOKUP(I345,[1]Scheme!D:F,3,0)</f>
        <v>P01.04</v>
      </c>
      <c r="I345" s="147" t="s">
        <v>1064</v>
      </c>
      <c r="J345" s="146" t="str">
        <f>VLOOKUP(K345,[1]Scheme!B:C,2,0)</f>
        <v>P01</v>
      </c>
      <c r="K345" s="147" t="s">
        <v>1042</v>
      </c>
      <c r="L345" s="148"/>
    </row>
    <row r="346" spans="1:14" s="149" customFormat="1" ht="12">
      <c r="A346" s="143" t="s">
        <v>727</v>
      </c>
      <c r="B346" s="144">
        <v>70</v>
      </c>
      <c r="C346" s="143" t="s">
        <v>660</v>
      </c>
      <c r="D346" s="143" t="s">
        <v>700</v>
      </c>
      <c r="E346" s="145"/>
      <c r="F346" s="146" t="str">
        <f t="shared" si="5"/>
        <v>P.703.03</v>
      </c>
      <c r="G346" s="147" t="s">
        <v>1067</v>
      </c>
      <c r="H346" s="146" t="str">
        <f>VLOOKUP(I346,[1]Scheme!D:F,3,0)</f>
        <v>P01.04</v>
      </c>
      <c r="I346" s="147" t="s">
        <v>1064</v>
      </c>
      <c r="J346" s="146" t="str">
        <f>VLOOKUP(K346,[1]Scheme!B:C,2,0)</f>
        <v>P01</v>
      </c>
      <c r="K346" s="147" t="s">
        <v>1042</v>
      </c>
      <c r="L346" s="148"/>
    </row>
    <row r="347" spans="1:14" s="149" customFormat="1" ht="12">
      <c r="A347" s="143" t="s">
        <v>727</v>
      </c>
      <c r="B347" s="144">
        <v>70</v>
      </c>
      <c r="C347" s="143" t="s">
        <v>662</v>
      </c>
      <c r="D347" s="143"/>
      <c r="E347" s="145"/>
      <c r="F347" s="146" t="str">
        <f t="shared" si="5"/>
        <v>P.704</v>
      </c>
      <c r="G347" s="147" t="s">
        <v>1068</v>
      </c>
      <c r="H347" s="146" t="str">
        <f>VLOOKUP(I347,[1]Scheme!D:F,3,0)</f>
        <v>P01.01</v>
      </c>
      <c r="I347" s="147" t="s">
        <v>1041</v>
      </c>
      <c r="J347" s="146" t="str">
        <f>VLOOKUP(K347,[1]Scheme!B:C,2,0)</f>
        <v>P01</v>
      </c>
      <c r="K347" s="147" t="s">
        <v>1042</v>
      </c>
      <c r="L347" s="148"/>
    </row>
    <row r="348" spans="1:14" s="149" customFormat="1" ht="12">
      <c r="A348" s="143" t="s">
        <v>727</v>
      </c>
      <c r="B348" s="144">
        <v>70</v>
      </c>
      <c r="C348" s="143" t="s">
        <v>662</v>
      </c>
      <c r="D348" s="143" t="s">
        <v>692</v>
      </c>
      <c r="E348" s="145"/>
      <c r="F348" s="146" t="str">
        <f t="shared" si="5"/>
        <v>P.704.01</v>
      </c>
      <c r="G348" s="147" t="s">
        <v>1069</v>
      </c>
      <c r="H348" s="146" t="str">
        <f>VLOOKUP(I348,[1]Scheme!D:F,3,0)</f>
        <v>P01.02</v>
      </c>
      <c r="I348" s="147" t="s">
        <v>1046</v>
      </c>
      <c r="J348" s="146" t="str">
        <f>VLOOKUP(K348,[1]Scheme!B:C,2,0)</f>
        <v>P01</v>
      </c>
      <c r="K348" s="147" t="s">
        <v>1042</v>
      </c>
      <c r="L348" s="148"/>
    </row>
    <row r="349" spans="1:14">
      <c r="A349" s="143" t="s">
        <v>727</v>
      </c>
      <c r="B349" s="144">
        <v>70</v>
      </c>
      <c r="C349" s="143" t="s">
        <v>662</v>
      </c>
      <c r="D349" s="143" t="s">
        <v>698</v>
      </c>
      <c r="E349" s="145"/>
      <c r="F349" s="146" t="str">
        <f t="shared" si="5"/>
        <v>P.704.02</v>
      </c>
      <c r="G349" s="147" t="s">
        <v>1070</v>
      </c>
      <c r="H349" s="146" t="str">
        <f>VLOOKUP(I349,[1]Scheme!D:F,3,0)</f>
        <v>P01.03</v>
      </c>
      <c r="I349" s="147" t="s">
        <v>1060</v>
      </c>
      <c r="J349" s="146" t="str">
        <f>VLOOKUP(K349,[1]Scheme!B:C,2,0)</f>
        <v>P01</v>
      </c>
      <c r="K349" s="147" t="s">
        <v>1042</v>
      </c>
      <c r="N349" s="141"/>
    </row>
    <row r="350" spans="1:14" s="149" customFormat="1" ht="12">
      <c r="A350" s="143" t="s">
        <v>727</v>
      </c>
      <c r="B350" s="144">
        <v>70</v>
      </c>
      <c r="C350" s="143" t="s">
        <v>662</v>
      </c>
      <c r="D350" s="143" t="s">
        <v>700</v>
      </c>
      <c r="E350" s="145"/>
      <c r="F350" s="146" t="str">
        <f t="shared" si="5"/>
        <v>P.704.03</v>
      </c>
      <c r="G350" s="147" t="s">
        <v>1071</v>
      </c>
      <c r="H350" s="146" t="str">
        <f>VLOOKUP(I350,[1]Scheme!D:F,3,0)</f>
        <v>P01.04</v>
      </c>
      <c r="I350" s="147" t="s">
        <v>1064</v>
      </c>
      <c r="J350" s="146" t="str">
        <f>VLOOKUP(K350,[1]Scheme!B:C,2,0)</f>
        <v>P01</v>
      </c>
      <c r="K350" s="147" t="s">
        <v>1042</v>
      </c>
      <c r="L350" s="148"/>
    </row>
    <row r="351" spans="1:14" s="149" customFormat="1" ht="12.75">
      <c r="A351" s="151" t="s">
        <v>727</v>
      </c>
      <c r="B351" s="152">
        <v>71</v>
      </c>
      <c r="C351" s="151"/>
      <c r="D351" s="151"/>
      <c r="E351" s="140"/>
      <c r="F351" s="153" t="str">
        <f t="shared" si="5"/>
        <v>P.71</v>
      </c>
      <c r="G351" s="141" t="s">
        <v>1072</v>
      </c>
      <c r="H351" s="146" t="str">
        <f>VLOOKUP(I351,[1]Scheme!D:F,3,0)</f>
        <v>P05.11</v>
      </c>
      <c r="I351" s="141" t="s">
        <v>1072</v>
      </c>
      <c r="J351" s="146" t="str">
        <f>VLOOKUP(K351,[1]Scheme!B:C,2,0)</f>
        <v>P05</v>
      </c>
      <c r="K351" s="141" t="s">
        <v>1073</v>
      </c>
      <c r="L351" s="148"/>
    </row>
    <row r="352" spans="1:14">
      <c r="A352" s="143" t="s">
        <v>727</v>
      </c>
      <c r="B352" s="144">
        <v>71</v>
      </c>
      <c r="C352" s="143" t="s">
        <v>653</v>
      </c>
      <c r="D352" s="143"/>
      <c r="E352" s="145"/>
      <c r="F352" s="146" t="str">
        <f t="shared" si="5"/>
        <v>P.711</v>
      </c>
      <c r="G352" s="147" t="s">
        <v>1074</v>
      </c>
      <c r="H352" s="146" t="str">
        <f>VLOOKUP(I352,[1]Scheme!D:F,3,0)</f>
        <v>P06.01</v>
      </c>
      <c r="I352" s="147" t="s">
        <v>1075</v>
      </c>
      <c r="J352" s="146" t="str">
        <f>VLOOKUP(K352,[1]Scheme!B:C,2,0)</f>
        <v>P06</v>
      </c>
      <c r="K352" s="147" t="s">
        <v>1075</v>
      </c>
      <c r="N352" s="141"/>
    </row>
    <row r="353" spans="1:14" s="149" customFormat="1" ht="12">
      <c r="A353" s="143" t="s">
        <v>727</v>
      </c>
      <c r="B353" s="144">
        <v>71</v>
      </c>
      <c r="C353" s="143" t="s">
        <v>658</v>
      </c>
      <c r="D353" s="143"/>
      <c r="E353" s="145"/>
      <c r="F353" s="146" t="str">
        <f t="shared" si="5"/>
        <v>P.712</v>
      </c>
      <c r="G353" s="147" t="s">
        <v>1076</v>
      </c>
      <c r="H353" s="146" t="str">
        <f>VLOOKUP(I353,[1]Scheme!D:F,3,0)</f>
        <v>P05.07</v>
      </c>
      <c r="I353" s="147" t="s">
        <v>1077</v>
      </c>
      <c r="J353" s="146" t="str">
        <f>VLOOKUP(K353,[1]Scheme!B:C,2,0)</f>
        <v>P05</v>
      </c>
      <c r="K353" s="147" t="s">
        <v>1073</v>
      </c>
      <c r="L353" s="148"/>
    </row>
    <row r="354" spans="1:14" s="149" customFormat="1" ht="12.75">
      <c r="A354" s="151" t="s">
        <v>727</v>
      </c>
      <c r="B354" s="152">
        <v>71</v>
      </c>
      <c r="C354" s="151" t="s">
        <v>660</v>
      </c>
      <c r="D354" s="151"/>
      <c r="E354" s="140"/>
      <c r="F354" s="153" t="str">
        <f t="shared" si="5"/>
        <v>P.713</v>
      </c>
      <c r="G354" s="141" t="s">
        <v>1078</v>
      </c>
      <c r="H354" s="146" t="e">
        <f>VLOOKUP(I354,[1]Scheme!D:F,3,0)</f>
        <v>#N/A</v>
      </c>
      <c r="I354" s="141" t="s">
        <v>1078</v>
      </c>
      <c r="J354" s="146" t="str">
        <f>VLOOKUP(K354,[1]Scheme!B:C,2,0)</f>
        <v>P05</v>
      </c>
      <c r="K354" s="141" t="s">
        <v>1073</v>
      </c>
      <c r="L354" s="148"/>
    </row>
    <row r="355" spans="1:14">
      <c r="A355" s="143" t="s">
        <v>727</v>
      </c>
      <c r="B355" s="144">
        <v>71</v>
      </c>
      <c r="C355" s="143" t="s">
        <v>662</v>
      </c>
      <c r="D355" s="143"/>
      <c r="E355" s="145"/>
      <c r="F355" s="146" t="str">
        <f t="shared" si="5"/>
        <v>P.714</v>
      </c>
      <c r="G355" s="147" t="s">
        <v>1079</v>
      </c>
      <c r="H355" s="146" t="str">
        <f>VLOOKUP(I355,[1]Scheme!D:F,3,0)</f>
        <v>P06.01</v>
      </c>
      <c r="I355" s="147" t="s">
        <v>1075</v>
      </c>
      <c r="J355" s="146" t="str">
        <f>VLOOKUP(K355,[1]Scheme!B:C,2,0)</f>
        <v>P06</v>
      </c>
      <c r="K355" s="147" t="s">
        <v>1075</v>
      </c>
      <c r="N355" s="141"/>
    </row>
    <row r="356" spans="1:14" s="149" customFormat="1" ht="12">
      <c r="A356" s="143" t="s">
        <v>727</v>
      </c>
      <c r="B356" s="144">
        <v>71</v>
      </c>
      <c r="C356" s="143" t="s">
        <v>668</v>
      </c>
      <c r="D356" s="143"/>
      <c r="E356" s="145"/>
      <c r="F356" s="146" t="str">
        <f t="shared" si="5"/>
        <v>P.715</v>
      </c>
      <c r="G356" s="147" t="s">
        <v>1080</v>
      </c>
      <c r="H356" s="146" t="str">
        <f>VLOOKUP(I356,[1]Scheme!D:F,3,0)</f>
        <v>P05.02</v>
      </c>
      <c r="I356" s="147" t="s">
        <v>1080</v>
      </c>
      <c r="J356" s="146" t="str">
        <f>VLOOKUP(K356,[1]Scheme!B:C,2,0)</f>
        <v>P05</v>
      </c>
      <c r="K356" s="147" t="s">
        <v>1073</v>
      </c>
      <c r="L356" s="148"/>
    </row>
    <row r="357" spans="1:14">
      <c r="A357" s="151" t="s">
        <v>727</v>
      </c>
      <c r="B357" s="152">
        <v>71</v>
      </c>
      <c r="C357" s="151" t="s">
        <v>670</v>
      </c>
      <c r="D357" s="151"/>
      <c r="F357" s="153" t="str">
        <f t="shared" si="5"/>
        <v>P.716</v>
      </c>
      <c r="G357" s="141" t="s">
        <v>1081</v>
      </c>
      <c r="H357" s="146" t="e">
        <f>VLOOKUP(I357,[1]Scheme!D:F,3,0)</f>
        <v>#N/A</v>
      </c>
      <c r="I357" s="141" t="s">
        <v>1081</v>
      </c>
      <c r="J357" s="146" t="str">
        <f>VLOOKUP(K357,[1]Scheme!B:C,2,0)</f>
        <v>P05</v>
      </c>
      <c r="K357" s="141" t="s">
        <v>1073</v>
      </c>
      <c r="N357" s="141"/>
    </row>
    <row r="358" spans="1:14" s="149" customFormat="1" ht="12">
      <c r="A358" s="143" t="s">
        <v>727</v>
      </c>
      <c r="B358" s="144">
        <v>71</v>
      </c>
      <c r="C358" s="143" t="s">
        <v>681</v>
      </c>
      <c r="D358" s="143"/>
      <c r="E358" s="145"/>
      <c r="F358" s="146" t="str">
        <f t="shared" si="5"/>
        <v>P.717</v>
      </c>
      <c r="G358" s="147" t="s">
        <v>1082</v>
      </c>
      <c r="H358" s="146" t="str">
        <f>VLOOKUP(I358,[1]Scheme!D:F,3,0)</f>
        <v>P05.09</v>
      </c>
      <c r="I358" s="147" t="s">
        <v>1082</v>
      </c>
      <c r="J358" s="146" t="str">
        <f>VLOOKUP(K358,[1]Scheme!B:C,2,0)</f>
        <v>P05</v>
      </c>
      <c r="K358" s="147" t="s">
        <v>1073</v>
      </c>
      <c r="L358" s="148"/>
    </row>
    <row r="359" spans="1:14" s="149" customFormat="1" ht="12.75">
      <c r="A359" s="151" t="s">
        <v>727</v>
      </c>
      <c r="B359" s="152">
        <v>71</v>
      </c>
      <c r="C359" s="151" t="s">
        <v>763</v>
      </c>
      <c r="D359" s="151"/>
      <c r="E359" s="140"/>
      <c r="F359" s="153" t="str">
        <f t="shared" si="5"/>
        <v>P.718</v>
      </c>
      <c r="G359" s="141" t="s">
        <v>1083</v>
      </c>
      <c r="H359" s="146" t="str">
        <f>VLOOKUP(I359,[1]Scheme!D:F,3,0)</f>
        <v>P05.07</v>
      </c>
      <c r="I359" s="147" t="s">
        <v>1077</v>
      </c>
      <c r="J359" s="146" t="str">
        <f>VLOOKUP(K359,[1]Scheme!B:C,2,0)</f>
        <v>P05</v>
      </c>
      <c r="K359" s="147" t="s">
        <v>1073</v>
      </c>
      <c r="L359" s="148" t="s">
        <v>353</v>
      </c>
    </row>
    <row r="360" spans="1:14" s="149" customFormat="1" ht="12">
      <c r="A360" s="143" t="s">
        <v>727</v>
      </c>
      <c r="B360" s="144">
        <v>71</v>
      </c>
      <c r="C360" s="143" t="s">
        <v>672</v>
      </c>
      <c r="D360" s="143"/>
      <c r="E360" s="145"/>
      <c r="F360" s="146" t="str">
        <f t="shared" si="5"/>
        <v>P.719</v>
      </c>
      <c r="G360" s="147" t="s">
        <v>1084</v>
      </c>
      <c r="H360" s="146" t="str">
        <f>VLOOKUP(I360,[1]Scheme!D:F,3,0)</f>
        <v>P05.07</v>
      </c>
      <c r="I360" s="147" t="s">
        <v>1077</v>
      </c>
      <c r="J360" s="146" t="str">
        <f>VLOOKUP(K360,[1]Scheme!B:C,2,0)</f>
        <v>P05</v>
      </c>
      <c r="K360" s="147" t="s">
        <v>1073</v>
      </c>
      <c r="L360" s="148" t="s">
        <v>353</v>
      </c>
    </row>
    <row r="361" spans="1:14" s="149" customFormat="1" ht="12">
      <c r="A361" s="143" t="s">
        <v>727</v>
      </c>
      <c r="B361" s="144">
        <v>72</v>
      </c>
      <c r="C361" s="143"/>
      <c r="D361" s="143"/>
      <c r="E361" s="145"/>
      <c r="F361" s="146" t="str">
        <f t="shared" si="5"/>
        <v>P.72</v>
      </c>
      <c r="G361" s="147" t="s">
        <v>1085</v>
      </c>
      <c r="H361" s="146" t="str">
        <f>VLOOKUP(I361,[1]Scheme!D:F,3,0)</f>
        <v>P09.02</v>
      </c>
      <c r="I361" s="147" t="s">
        <v>1086</v>
      </c>
      <c r="J361" s="146" t="str">
        <f>VLOOKUP(K361,[1]Scheme!B:C,2,0)</f>
        <v>P09</v>
      </c>
      <c r="K361" s="147" t="s">
        <v>1087</v>
      </c>
      <c r="L361" s="148" t="s">
        <v>353</v>
      </c>
    </row>
    <row r="362" spans="1:14" s="149" customFormat="1" ht="12">
      <c r="A362" s="143" t="s">
        <v>727</v>
      </c>
      <c r="B362" s="144">
        <v>72</v>
      </c>
      <c r="C362" s="143" t="s">
        <v>653</v>
      </c>
      <c r="D362" s="143"/>
      <c r="E362" s="145"/>
      <c r="F362" s="146" t="str">
        <f t="shared" si="5"/>
        <v>P.721</v>
      </c>
      <c r="G362" s="147" t="s">
        <v>1088</v>
      </c>
      <c r="H362" s="146" t="str">
        <f>VLOOKUP(I362,[1]Scheme!D:F,3,0)</f>
        <v>P09.02</v>
      </c>
      <c r="I362" s="147" t="s">
        <v>1086</v>
      </c>
      <c r="J362" s="146" t="str">
        <f>VLOOKUP(K362,[1]Scheme!B:C,2,0)</f>
        <v>P09</v>
      </c>
      <c r="K362" s="147" t="s">
        <v>1087</v>
      </c>
      <c r="L362" s="148" t="s">
        <v>353</v>
      </c>
    </row>
    <row r="363" spans="1:14" s="149" customFormat="1" ht="12">
      <c r="A363" s="143" t="s">
        <v>727</v>
      </c>
      <c r="B363" s="144">
        <v>72</v>
      </c>
      <c r="C363" s="143" t="s">
        <v>658</v>
      </c>
      <c r="D363" s="143"/>
      <c r="E363" s="145"/>
      <c r="F363" s="146" t="str">
        <f t="shared" si="5"/>
        <v>P.722</v>
      </c>
      <c r="G363" s="147" t="s">
        <v>1089</v>
      </c>
      <c r="H363" s="146" t="str">
        <f>VLOOKUP(I363,[1]Scheme!D:F,3,0)</f>
        <v>P09.02</v>
      </c>
      <c r="I363" s="147" t="s">
        <v>1086</v>
      </c>
      <c r="J363" s="146" t="str">
        <f>VLOOKUP(K363,[1]Scheme!B:C,2,0)</f>
        <v>P09</v>
      </c>
      <c r="K363" s="147" t="s">
        <v>1087</v>
      </c>
      <c r="L363" s="148" t="s">
        <v>353</v>
      </c>
    </row>
    <row r="364" spans="1:14">
      <c r="A364" s="143" t="s">
        <v>727</v>
      </c>
      <c r="B364" s="144">
        <v>72</v>
      </c>
      <c r="C364" s="143" t="s">
        <v>660</v>
      </c>
      <c r="D364" s="143"/>
      <c r="E364" s="145"/>
      <c r="F364" s="146" t="str">
        <f t="shared" si="5"/>
        <v>P.723</v>
      </c>
      <c r="G364" s="147" t="s">
        <v>1090</v>
      </c>
      <c r="H364" s="146" t="str">
        <f>VLOOKUP(I364,[1]Scheme!D:F,3,0)</f>
        <v>P09.02</v>
      </c>
      <c r="I364" s="147" t="s">
        <v>1086</v>
      </c>
      <c r="J364" s="146" t="str">
        <f>VLOOKUP(K364,[1]Scheme!B:C,2,0)</f>
        <v>P09</v>
      </c>
      <c r="K364" s="147" t="s">
        <v>1087</v>
      </c>
      <c r="N364" s="141"/>
    </row>
    <row r="365" spans="1:14">
      <c r="A365" s="143" t="s">
        <v>727</v>
      </c>
      <c r="B365" s="144">
        <v>72</v>
      </c>
      <c r="C365" s="143" t="s">
        <v>662</v>
      </c>
      <c r="D365" s="143"/>
      <c r="E365" s="145"/>
      <c r="F365" s="146" t="str">
        <f t="shared" si="5"/>
        <v>P.724</v>
      </c>
      <c r="G365" s="147" t="s">
        <v>1091</v>
      </c>
      <c r="H365" s="146" t="str">
        <f>VLOOKUP(I365,[1]Scheme!D:F,3,0)</f>
        <v>P09.02</v>
      </c>
      <c r="I365" s="147" t="s">
        <v>1086</v>
      </c>
      <c r="J365" s="146" t="str">
        <f>VLOOKUP(K365,[1]Scheme!B:C,2,0)</f>
        <v>P09</v>
      </c>
      <c r="K365" s="147" t="s">
        <v>1087</v>
      </c>
      <c r="N365" s="141"/>
    </row>
    <row r="366" spans="1:14">
      <c r="A366" s="151" t="s">
        <v>727</v>
      </c>
      <c r="B366" s="152">
        <v>73</v>
      </c>
      <c r="C366" s="151"/>
      <c r="D366" s="151"/>
      <c r="F366" s="153" t="str">
        <f t="shared" si="5"/>
        <v>P.73</v>
      </c>
      <c r="G366" s="141" t="s">
        <v>1092</v>
      </c>
      <c r="H366" s="146" t="str">
        <f>VLOOKUP(I366,[1]Scheme!D:F,3,0)</f>
        <v>P10.01</v>
      </c>
      <c r="I366" s="141" t="s">
        <v>1092</v>
      </c>
      <c r="J366" s="146" t="str">
        <f>VLOOKUP(K366,[1]Scheme!B:C,2,0)</f>
        <v>P10</v>
      </c>
      <c r="K366" s="141" t="s">
        <v>1092</v>
      </c>
      <c r="N366" s="141"/>
    </row>
    <row r="367" spans="1:14">
      <c r="A367" s="151" t="s">
        <v>727</v>
      </c>
      <c r="B367" s="152">
        <v>73</v>
      </c>
      <c r="C367" s="151" t="s">
        <v>653</v>
      </c>
      <c r="D367" s="151"/>
      <c r="F367" s="153" t="str">
        <f t="shared" si="5"/>
        <v>P.731</v>
      </c>
      <c r="G367" s="141" t="s">
        <v>1093</v>
      </c>
      <c r="H367" s="146" t="str">
        <f>VLOOKUP(I367,[1]Scheme!D:F,3,0)</f>
        <v>P10.01</v>
      </c>
      <c r="I367" s="141" t="s">
        <v>1092</v>
      </c>
      <c r="J367" s="146" t="str">
        <f>VLOOKUP(K367,[1]Scheme!B:C,2,0)</f>
        <v>P10</v>
      </c>
      <c r="K367" s="141" t="s">
        <v>1092</v>
      </c>
      <c r="N367" s="141"/>
    </row>
    <row r="368" spans="1:14">
      <c r="A368" s="151" t="s">
        <v>727</v>
      </c>
      <c r="B368" s="152">
        <v>73</v>
      </c>
      <c r="C368" s="151" t="s">
        <v>658</v>
      </c>
      <c r="D368" s="151"/>
      <c r="F368" s="153" t="str">
        <f t="shared" si="5"/>
        <v>P.732</v>
      </c>
      <c r="G368" s="141" t="s">
        <v>1094</v>
      </c>
      <c r="H368" s="146" t="str">
        <f>VLOOKUP(I368,[1]Scheme!D:F,3,0)</f>
        <v>P10.01</v>
      </c>
      <c r="I368" s="141" t="s">
        <v>1092</v>
      </c>
      <c r="J368" s="146" t="str">
        <f>VLOOKUP(K368,[1]Scheme!B:C,2,0)</f>
        <v>P10</v>
      </c>
      <c r="K368" s="141" t="s">
        <v>1092</v>
      </c>
      <c r="N368" s="141"/>
    </row>
    <row r="369" spans="1:14">
      <c r="A369" s="151" t="s">
        <v>727</v>
      </c>
      <c r="B369" s="152">
        <v>73</v>
      </c>
      <c r="C369" s="151" t="s">
        <v>660</v>
      </c>
      <c r="D369" s="151"/>
      <c r="F369" s="153" t="str">
        <f t="shared" si="5"/>
        <v>P.733</v>
      </c>
      <c r="G369" s="141" t="s">
        <v>1095</v>
      </c>
      <c r="H369" s="146" t="str">
        <f>VLOOKUP(I369,[1]Scheme!D:F,3,0)</f>
        <v>P10.01</v>
      </c>
      <c r="I369" s="141" t="s">
        <v>1092</v>
      </c>
      <c r="J369" s="146" t="str">
        <f>VLOOKUP(K369,[1]Scheme!B:C,2,0)</f>
        <v>P10</v>
      </c>
      <c r="K369" s="141" t="s">
        <v>1092</v>
      </c>
      <c r="N369" s="141"/>
    </row>
    <row r="370" spans="1:14" s="149" customFormat="1" ht="12.75">
      <c r="A370" s="151" t="s">
        <v>727</v>
      </c>
      <c r="B370" s="152">
        <v>74</v>
      </c>
      <c r="C370" s="151"/>
      <c r="D370" s="151"/>
      <c r="E370" s="140"/>
      <c r="F370" s="153" t="str">
        <f t="shared" si="5"/>
        <v>P.74</v>
      </c>
      <c r="G370" s="141" t="s">
        <v>1096</v>
      </c>
      <c r="H370" s="146" t="e">
        <f>VLOOKUP(I370,[1]Scheme!D:F,3,0)</f>
        <v>#N/A</v>
      </c>
      <c r="I370" s="141" t="s">
        <v>1096</v>
      </c>
      <c r="J370" s="146" t="str">
        <f>VLOOKUP(K370,[1]Scheme!B:C,2,0)</f>
        <v>P09</v>
      </c>
      <c r="K370" s="141" t="s">
        <v>1087</v>
      </c>
      <c r="L370" s="148" t="s">
        <v>353</v>
      </c>
    </row>
    <row r="371" spans="1:14" s="149" customFormat="1" ht="12.75">
      <c r="A371" s="151" t="s">
        <v>727</v>
      </c>
      <c r="B371" s="152">
        <v>74</v>
      </c>
      <c r="C371" s="151" t="s">
        <v>653</v>
      </c>
      <c r="D371" s="151"/>
      <c r="E371" s="140"/>
      <c r="F371" s="153" t="str">
        <f t="shared" si="5"/>
        <v>P.741</v>
      </c>
      <c r="G371" s="141" t="s">
        <v>1097</v>
      </c>
      <c r="H371" s="146" t="e">
        <f>VLOOKUP(I371,[1]Scheme!D:F,3,0)</f>
        <v>#N/A</v>
      </c>
      <c r="I371" s="141" t="s">
        <v>1098</v>
      </c>
      <c r="J371" s="146" t="e">
        <f>VLOOKUP(K371,[1]Scheme!B:C,2,0)</f>
        <v>#N/A</v>
      </c>
      <c r="K371" s="141" t="s">
        <v>1099</v>
      </c>
      <c r="L371" s="148" t="s">
        <v>353</v>
      </c>
    </row>
    <row r="372" spans="1:14" s="149" customFormat="1" ht="12">
      <c r="A372" s="143" t="s">
        <v>727</v>
      </c>
      <c r="B372" s="144">
        <v>74</v>
      </c>
      <c r="C372" s="143" t="s">
        <v>658</v>
      </c>
      <c r="D372" s="143"/>
      <c r="E372" s="145"/>
      <c r="F372" s="146" t="str">
        <f t="shared" si="5"/>
        <v>P.742</v>
      </c>
      <c r="G372" s="147" t="s">
        <v>1100</v>
      </c>
      <c r="H372" s="146" t="str">
        <f>VLOOKUP(I372,[1]Scheme!D:F,3,0)</f>
        <v>P05.12</v>
      </c>
      <c r="I372" s="147" t="s">
        <v>1101</v>
      </c>
      <c r="J372" s="146" t="str">
        <f>VLOOKUP(K372,[1]Scheme!B:C,2,0)</f>
        <v>P09</v>
      </c>
      <c r="K372" s="147" t="s">
        <v>1087</v>
      </c>
      <c r="L372" s="148"/>
    </row>
    <row r="373" spans="1:14" s="149" customFormat="1" ht="12">
      <c r="A373" s="143" t="s">
        <v>727</v>
      </c>
      <c r="B373" s="144">
        <v>74</v>
      </c>
      <c r="C373" s="143" t="s">
        <v>660</v>
      </c>
      <c r="D373" s="143"/>
      <c r="E373" s="145"/>
      <c r="F373" s="146" t="str">
        <f t="shared" si="5"/>
        <v>P.743</v>
      </c>
      <c r="G373" s="147" t="s">
        <v>1102</v>
      </c>
      <c r="H373" s="146" t="str">
        <f>VLOOKUP(I373,[1]Scheme!D:F,3,0)</f>
        <v>P05.13</v>
      </c>
      <c r="I373" s="147" t="s">
        <v>1103</v>
      </c>
      <c r="J373" s="146" t="str">
        <f>VLOOKUP(K373,[1]Scheme!B:C,2,0)</f>
        <v>P09</v>
      </c>
      <c r="K373" s="147" t="s">
        <v>1087</v>
      </c>
      <c r="L373" s="148"/>
    </row>
    <row r="374" spans="1:14" s="149" customFormat="1" ht="12">
      <c r="A374" s="143" t="s">
        <v>727</v>
      </c>
      <c r="B374" s="144">
        <v>74</v>
      </c>
      <c r="C374" s="143" t="s">
        <v>662</v>
      </c>
      <c r="D374" s="143"/>
      <c r="E374" s="145"/>
      <c r="F374" s="146" t="str">
        <f t="shared" si="5"/>
        <v>P.744</v>
      </c>
      <c r="G374" s="147" t="s">
        <v>1104</v>
      </c>
      <c r="H374" s="146" t="str">
        <f>VLOOKUP(I374,[1]Scheme!D:F,3,0)</f>
        <v>P10.01</v>
      </c>
      <c r="I374" s="147" t="s">
        <v>1092</v>
      </c>
      <c r="J374" s="146" t="str">
        <f>VLOOKUP(K374,[1]Scheme!B:C,2,0)</f>
        <v>P10</v>
      </c>
      <c r="K374" s="147" t="s">
        <v>1092</v>
      </c>
      <c r="L374" s="148"/>
    </row>
    <row r="375" spans="1:14">
      <c r="A375" s="143" t="s">
        <v>727</v>
      </c>
      <c r="B375" s="144">
        <v>74</v>
      </c>
      <c r="C375" s="143" t="s">
        <v>668</v>
      </c>
      <c r="D375" s="143"/>
      <c r="E375" s="145"/>
      <c r="F375" s="146" t="str">
        <f t="shared" si="5"/>
        <v>P.745</v>
      </c>
      <c r="G375" s="147" t="s">
        <v>1105</v>
      </c>
      <c r="H375" s="146" t="str">
        <f>VLOOKUP(I375,[1]Scheme!D:F,3,0)</f>
        <v>P05.07</v>
      </c>
      <c r="I375" s="147" t="s">
        <v>1077</v>
      </c>
      <c r="J375" s="146" t="str">
        <f>VLOOKUP(K375,[1]Scheme!B:C,2,0)</f>
        <v>P05</v>
      </c>
      <c r="K375" s="147" t="s">
        <v>1073</v>
      </c>
      <c r="N375" s="141"/>
    </row>
    <row r="376" spans="1:14" s="149" customFormat="1" ht="12">
      <c r="A376" s="143" t="s">
        <v>727</v>
      </c>
      <c r="B376" s="144">
        <v>74</v>
      </c>
      <c r="C376" s="143" t="s">
        <v>670</v>
      </c>
      <c r="D376" s="143"/>
      <c r="E376" s="145"/>
      <c r="F376" s="146" t="str">
        <f t="shared" si="5"/>
        <v>P.746</v>
      </c>
      <c r="G376" s="147" t="s">
        <v>1106</v>
      </c>
      <c r="H376" s="146" t="str">
        <f>VLOOKUP(I376,[1]Scheme!D:F,3,0)</f>
        <v>P05.07</v>
      </c>
      <c r="I376" s="147" t="s">
        <v>1077</v>
      </c>
      <c r="J376" s="146" t="str">
        <f>VLOOKUP(K376,[1]Scheme!B:C,2,0)</f>
        <v>P05</v>
      </c>
      <c r="K376" s="147" t="s">
        <v>1073</v>
      </c>
      <c r="L376" s="148" t="s">
        <v>353</v>
      </c>
    </row>
    <row r="377" spans="1:14" s="149" customFormat="1" ht="12.75">
      <c r="A377" s="151" t="s">
        <v>727</v>
      </c>
      <c r="B377" s="152">
        <v>74</v>
      </c>
      <c r="C377" s="151" t="s">
        <v>670</v>
      </c>
      <c r="D377" s="151" t="s">
        <v>692</v>
      </c>
      <c r="E377" s="140"/>
      <c r="F377" s="153" t="str">
        <f t="shared" si="5"/>
        <v>P.746.01</v>
      </c>
      <c r="G377" s="141" t="s">
        <v>1107</v>
      </c>
      <c r="H377" s="146" t="e">
        <f>VLOOKUP(I377,[1]Scheme!D:F,3,0)</f>
        <v>#N/A</v>
      </c>
      <c r="I377" s="141" t="s">
        <v>1107</v>
      </c>
      <c r="J377" s="146" t="str">
        <f>VLOOKUP(K377,[1]Scheme!B:C,2,0)</f>
        <v>P12</v>
      </c>
      <c r="K377" s="141" t="s">
        <v>1107</v>
      </c>
      <c r="L377" s="148"/>
    </row>
    <row r="378" spans="1:14" s="149" customFormat="1" ht="12">
      <c r="A378" s="143" t="s">
        <v>727</v>
      </c>
      <c r="B378" s="144">
        <v>75</v>
      </c>
      <c r="C378" s="143"/>
      <c r="D378" s="143"/>
      <c r="E378" s="145"/>
      <c r="F378" s="146" t="str">
        <f t="shared" si="5"/>
        <v>P.75</v>
      </c>
      <c r="G378" s="147" t="s">
        <v>1096</v>
      </c>
      <c r="H378" s="146" t="str">
        <f>VLOOKUP(I378,[1]Scheme!D:F,3,0)</f>
        <v>P05.07</v>
      </c>
      <c r="I378" s="147" t="s">
        <v>1077</v>
      </c>
      <c r="J378" s="146" t="str">
        <f>VLOOKUP(K378,[1]Scheme!B:C,2,0)</f>
        <v>P05</v>
      </c>
      <c r="K378" s="147" t="s">
        <v>1073</v>
      </c>
      <c r="L378" s="148" t="s">
        <v>353</v>
      </c>
    </row>
    <row r="379" spans="1:14">
      <c r="A379" s="143" t="s">
        <v>727</v>
      </c>
      <c r="B379" s="144">
        <v>75</v>
      </c>
      <c r="C379" s="143" t="s">
        <v>653</v>
      </c>
      <c r="D379" s="143"/>
      <c r="E379" s="145"/>
      <c r="F379" s="146" t="str">
        <f t="shared" si="5"/>
        <v>P.751</v>
      </c>
      <c r="G379" s="147" t="s">
        <v>1108</v>
      </c>
      <c r="H379" s="146" t="str">
        <f>VLOOKUP(I379,[1]Scheme!D:F,3,0)</f>
        <v>P05.07</v>
      </c>
      <c r="I379" s="147" t="s">
        <v>1077</v>
      </c>
      <c r="J379" s="146" t="str">
        <f>VLOOKUP(K379,[1]Scheme!B:C,2,0)</f>
        <v>P05</v>
      </c>
      <c r="K379" s="147" t="s">
        <v>1073</v>
      </c>
      <c r="N379" s="141"/>
    </row>
    <row r="380" spans="1:14">
      <c r="A380" s="143" t="s">
        <v>727</v>
      </c>
      <c r="B380" s="144">
        <v>75</v>
      </c>
      <c r="C380" s="143" t="s">
        <v>658</v>
      </c>
      <c r="D380" s="143"/>
      <c r="E380" s="145"/>
      <c r="F380" s="146" t="str">
        <f t="shared" si="5"/>
        <v>P.752</v>
      </c>
      <c r="G380" s="147" t="s">
        <v>1109</v>
      </c>
      <c r="H380" s="146" t="str">
        <f>VLOOKUP(I380,[1]Scheme!D:F,3,0)</f>
        <v>P05.07</v>
      </c>
      <c r="I380" s="147" t="s">
        <v>1077</v>
      </c>
      <c r="J380" s="146" t="str">
        <f>VLOOKUP(K380,[1]Scheme!B:C,2,0)</f>
        <v>P05</v>
      </c>
      <c r="K380" s="147" t="s">
        <v>1073</v>
      </c>
      <c r="N380" s="141"/>
    </row>
    <row r="381" spans="1:14">
      <c r="A381" s="143" t="s">
        <v>727</v>
      </c>
      <c r="B381" s="144">
        <v>77</v>
      </c>
      <c r="C381" s="143" t="s">
        <v>681</v>
      </c>
      <c r="D381" s="143"/>
      <c r="E381" s="145"/>
      <c r="F381" s="146" t="str">
        <f>CONCATENATE(A381,".",B381&amp;C381,IF(D381="","",CONCATENATE(".",D381)))</f>
        <v>P.777</v>
      </c>
      <c r="G381" s="147" t="s">
        <v>1110</v>
      </c>
      <c r="H381" s="146" t="str">
        <f>VLOOKUP(I381,[1]Scheme!D:F,3,0)</f>
        <v>P16.01</v>
      </c>
      <c r="I381" s="147" t="s">
        <v>1110</v>
      </c>
      <c r="J381" s="146" t="str">
        <f>VLOOKUP(K381,[1]Scheme!B:C,2,0)</f>
        <v>P16</v>
      </c>
      <c r="K381" s="147" t="s">
        <v>1110</v>
      </c>
      <c r="N381" s="141"/>
    </row>
    <row r="382" spans="1:14">
      <c r="A382" s="151" t="s">
        <v>727</v>
      </c>
      <c r="B382" s="152">
        <v>90</v>
      </c>
      <c r="C382" s="151"/>
      <c r="D382" s="151"/>
      <c r="F382" s="153" t="str">
        <f t="shared" si="5"/>
        <v>P.90</v>
      </c>
      <c r="G382" s="141" t="s">
        <v>1111</v>
      </c>
      <c r="H382" s="146" t="str">
        <f>VLOOKUP(I382,[1]Scheme!D:F,3,0)</f>
        <v>P02.01</v>
      </c>
      <c r="I382" s="141" t="s">
        <v>1111</v>
      </c>
      <c r="J382" s="146" t="str">
        <f>VLOOKUP(K382,[1]Scheme!B:C,2,0)</f>
        <v>P02</v>
      </c>
      <c r="K382" s="141" t="s">
        <v>1112</v>
      </c>
      <c r="N382" s="141"/>
    </row>
    <row r="383" spans="1:14">
      <c r="A383" s="151" t="s">
        <v>727</v>
      </c>
      <c r="B383" s="152">
        <v>90</v>
      </c>
      <c r="C383" s="151"/>
      <c r="D383" s="151" t="s">
        <v>1113</v>
      </c>
      <c r="F383" s="153" t="str">
        <f>CONCATENATE(A383,".",B383&amp;C383,IF(D383="","",CONCATENATE(".",D383)))</f>
        <v>P.90.С</v>
      </c>
      <c r="G383" s="141" t="s">
        <v>1111</v>
      </c>
      <c r="H383" s="146" t="str">
        <f>VLOOKUP(I383,[1]Scheme!D:F,3,0)</f>
        <v>P02.01</v>
      </c>
      <c r="I383" s="141" t="s">
        <v>1111</v>
      </c>
      <c r="J383" s="146" t="str">
        <f>VLOOKUP(K383,[1]Scheme!B:C,2,0)</f>
        <v>P02</v>
      </c>
      <c r="K383" s="141" t="s">
        <v>1112</v>
      </c>
      <c r="N383" s="141"/>
    </row>
    <row r="384" spans="1:14">
      <c r="A384" s="151" t="s">
        <v>727</v>
      </c>
      <c r="B384" s="152">
        <v>90</v>
      </c>
      <c r="C384" s="151" t="s">
        <v>653</v>
      </c>
      <c r="D384" s="151"/>
      <c r="F384" s="153" t="str">
        <f t="shared" si="5"/>
        <v>P.901</v>
      </c>
      <c r="G384" s="141" t="s">
        <v>1114</v>
      </c>
      <c r="H384" s="146" t="str">
        <f>VLOOKUP(I384,[1]Scheme!D:F,3,0)</f>
        <v>P02.02</v>
      </c>
      <c r="I384" s="141" t="s">
        <v>1114</v>
      </c>
      <c r="J384" s="146" t="str">
        <f>VLOOKUP(K384,[1]Scheme!B:C,2,0)</f>
        <v>P02</v>
      </c>
      <c r="K384" s="141" t="s">
        <v>1112</v>
      </c>
      <c r="N384" s="141"/>
    </row>
    <row r="385" spans="1:14">
      <c r="A385" s="151" t="s">
        <v>727</v>
      </c>
      <c r="B385" s="152">
        <v>90</v>
      </c>
      <c r="C385" s="151" t="s">
        <v>653</v>
      </c>
      <c r="D385" s="151" t="s">
        <v>692</v>
      </c>
      <c r="F385" s="153" t="str">
        <f t="shared" si="5"/>
        <v>P.901.01</v>
      </c>
      <c r="G385" s="141" t="s">
        <v>1115</v>
      </c>
      <c r="H385" s="146" t="str">
        <f>VLOOKUP(I385,[1]Scheme!D:F,3,0)</f>
        <v>P02.02</v>
      </c>
      <c r="I385" s="141" t="s">
        <v>1114</v>
      </c>
      <c r="J385" s="146" t="str">
        <f>VLOOKUP(K385,[1]Scheme!B:C,2,0)</f>
        <v>P02</v>
      </c>
      <c r="K385" s="141" t="s">
        <v>1112</v>
      </c>
      <c r="N385" s="141"/>
    </row>
    <row r="386" spans="1:14">
      <c r="A386" s="151" t="s">
        <v>727</v>
      </c>
      <c r="B386" s="152">
        <v>90</v>
      </c>
      <c r="C386" s="151" t="s">
        <v>653</v>
      </c>
      <c r="D386" s="151" t="s">
        <v>698</v>
      </c>
      <c r="F386" s="153" t="str">
        <f t="shared" si="5"/>
        <v>P.901.02</v>
      </c>
      <c r="G386" s="141" t="s">
        <v>1116</v>
      </c>
      <c r="H386" s="146" t="str">
        <f>VLOOKUP(I386,[1]Scheme!D:F,3,0)</f>
        <v>P02.02</v>
      </c>
      <c r="I386" s="141" t="s">
        <v>1114</v>
      </c>
      <c r="J386" s="146" t="str">
        <f>VLOOKUP(K386,[1]Scheme!B:C,2,0)</f>
        <v>P02</v>
      </c>
      <c r="K386" s="141" t="s">
        <v>1112</v>
      </c>
      <c r="N386" s="141"/>
    </row>
    <row r="387" spans="1:14">
      <c r="A387" s="151" t="s">
        <v>727</v>
      </c>
      <c r="B387" s="152">
        <v>90</v>
      </c>
      <c r="C387" s="151" t="s">
        <v>653</v>
      </c>
      <c r="D387" s="151" t="s">
        <v>700</v>
      </c>
      <c r="F387" s="153" t="str">
        <f t="shared" si="5"/>
        <v>P.901.03</v>
      </c>
      <c r="G387" s="141" t="s">
        <v>1117</v>
      </c>
      <c r="H387" s="146" t="str">
        <f>VLOOKUP(I387,[1]Scheme!D:F,3,0)</f>
        <v>P02.02</v>
      </c>
      <c r="I387" s="141" t="s">
        <v>1114</v>
      </c>
      <c r="J387" s="146" t="str">
        <f>VLOOKUP(K387,[1]Scheme!B:C,2,0)</f>
        <v>P02</v>
      </c>
      <c r="K387" s="141" t="s">
        <v>1112</v>
      </c>
      <c r="N387" s="141"/>
    </row>
    <row r="388" spans="1:14">
      <c r="A388" s="151" t="s">
        <v>727</v>
      </c>
      <c r="B388" s="152">
        <v>90</v>
      </c>
      <c r="C388" s="151" t="s">
        <v>653</v>
      </c>
      <c r="D388" s="151" t="s">
        <v>706</v>
      </c>
      <c r="F388" s="153" t="str">
        <f t="shared" si="5"/>
        <v>P.901.04</v>
      </c>
      <c r="G388" s="141" t="s">
        <v>1118</v>
      </c>
      <c r="H388" s="146" t="str">
        <f>VLOOKUP(I388,[1]Scheme!D:F,3,0)</f>
        <v>P02.02</v>
      </c>
      <c r="I388" s="141" t="s">
        <v>1114</v>
      </c>
      <c r="J388" s="146" t="str">
        <f>VLOOKUP(K388,[1]Scheme!B:C,2,0)</f>
        <v>P02</v>
      </c>
      <c r="K388" s="141" t="s">
        <v>1112</v>
      </c>
      <c r="N388" s="141"/>
    </row>
    <row r="389" spans="1:14">
      <c r="A389" s="151" t="s">
        <v>727</v>
      </c>
      <c r="B389" s="152">
        <v>90</v>
      </c>
      <c r="C389" s="151" t="s">
        <v>653</v>
      </c>
      <c r="D389" s="151" t="s">
        <v>708</v>
      </c>
      <c r="F389" s="153" t="str">
        <f t="shared" si="5"/>
        <v>P.901.05</v>
      </c>
      <c r="G389" s="141" t="s">
        <v>1119</v>
      </c>
      <c r="H389" s="146" t="str">
        <f>VLOOKUP(I389,[1]Scheme!D:F,3,0)</f>
        <v>P02.02</v>
      </c>
      <c r="I389" s="141" t="s">
        <v>1114</v>
      </c>
      <c r="J389" s="146" t="str">
        <f>VLOOKUP(K389,[1]Scheme!B:C,2,0)</f>
        <v>P02</v>
      </c>
      <c r="K389" s="141" t="s">
        <v>1112</v>
      </c>
      <c r="N389" s="141"/>
    </row>
    <row r="390" spans="1:14">
      <c r="A390" s="151" t="s">
        <v>727</v>
      </c>
      <c r="B390" s="152">
        <v>90</v>
      </c>
      <c r="C390" s="151" t="s">
        <v>653</v>
      </c>
      <c r="D390" s="151" t="s">
        <v>710</v>
      </c>
      <c r="F390" s="153" t="str">
        <f t="shared" si="5"/>
        <v>P.901.06</v>
      </c>
      <c r="G390" s="141" t="s">
        <v>1120</v>
      </c>
      <c r="H390" s="146" t="str">
        <f>VLOOKUP(I390,[1]Scheme!D:F,3,0)</f>
        <v>P02.02</v>
      </c>
      <c r="I390" s="141" t="s">
        <v>1114</v>
      </c>
      <c r="J390" s="146" t="str">
        <f>VLOOKUP(K390,[1]Scheme!B:C,2,0)</f>
        <v>P02</v>
      </c>
      <c r="K390" s="141" t="s">
        <v>1112</v>
      </c>
      <c r="N390" s="141"/>
    </row>
    <row r="391" spans="1:14">
      <c r="A391" s="151" t="s">
        <v>727</v>
      </c>
      <c r="B391" s="152">
        <v>90</v>
      </c>
      <c r="C391" s="151" t="s">
        <v>653</v>
      </c>
      <c r="D391" s="151" t="s">
        <v>811</v>
      </c>
      <c r="F391" s="153" t="str">
        <f t="shared" si="5"/>
        <v>P.901.07</v>
      </c>
      <c r="G391" s="141" t="s">
        <v>1121</v>
      </c>
      <c r="H391" s="146" t="str">
        <f>VLOOKUP(I391,[1]Scheme!D:F,3,0)</f>
        <v>P02.02</v>
      </c>
      <c r="I391" s="141" t="s">
        <v>1114</v>
      </c>
      <c r="J391" s="146" t="str">
        <f>VLOOKUP(K391,[1]Scheme!B:C,2,0)</f>
        <v>P02</v>
      </c>
      <c r="K391" s="141" t="s">
        <v>1112</v>
      </c>
      <c r="N391" s="141"/>
    </row>
    <row r="392" spans="1:14">
      <c r="A392" s="151" t="s">
        <v>727</v>
      </c>
      <c r="B392" s="152">
        <v>90</v>
      </c>
      <c r="C392" s="151" t="s">
        <v>653</v>
      </c>
      <c r="D392" s="151" t="s">
        <v>813</v>
      </c>
      <c r="F392" s="153" t="str">
        <f t="shared" ref="F392:F469" si="6">CONCATENATE(A392,".",B392&amp;C392,IF(D392="","",CONCATENATE(".",D392)))</f>
        <v>P.901.08</v>
      </c>
      <c r="G392" s="141" t="s">
        <v>1122</v>
      </c>
      <c r="H392" s="146" t="str">
        <f>VLOOKUP(I392,[1]Scheme!D:F,3,0)</f>
        <v>P02.02</v>
      </c>
      <c r="I392" s="141" t="s">
        <v>1114</v>
      </c>
      <c r="J392" s="146" t="str">
        <f>VLOOKUP(K392,[1]Scheme!B:C,2,0)</f>
        <v>P02</v>
      </c>
      <c r="K392" s="141" t="s">
        <v>1112</v>
      </c>
      <c r="N392" s="141"/>
    </row>
    <row r="393" spans="1:14">
      <c r="A393" s="151" t="s">
        <v>727</v>
      </c>
      <c r="B393" s="152">
        <v>90</v>
      </c>
      <c r="C393" s="151" t="s">
        <v>653</v>
      </c>
      <c r="D393" s="151" t="s">
        <v>815</v>
      </c>
      <c r="F393" s="153" t="str">
        <f t="shared" si="6"/>
        <v>P.901.09</v>
      </c>
      <c r="G393" s="141" t="s">
        <v>1123</v>
      </c>
      <c r="H393" s="146" t="str">
        <f>VLOOKUP(I393,[1]Scheme!D:F,3,0)</f>
        <v>P02.02</v>
      </c>
      <c r="I393" s="141" t="s">
        <v>1114</v>
      </c>
      <c r="J393" s="146" t="str">
        <f>VLOOKUP(K393,[1]Scheme!B:C,2,0)</f>
        <v>P02</v>
      </c>
      <c r="K393" s="141" t="s">
        <v>1112</v>
      </c>
      <c r="N393" s="141"/>
    </row>
    <row r="394" spans="1:14">
      <c r="A394" s="151" t="s">
        <v>727</v>
      </c>
      <c r="B394" s="152">
        <v>90</v>
      </c>
      <c r="C394" s="151" t="s">
        <v>653</v>
      </c>
      <c r="D394" s="151" t="s">
        <v>499</v>
      </c>
      <c r="F394" s="153" t="str">
        <f t="shared" si="6"/>
        <v>P.901.10</v>
      </c>
      <c r="G394" s="141" t="s">
        <v>1124</v>
      </c>
      <c r="H394" s="146" t="str">
        <f>VLOOKUP(I394,[1]Scheme!D:F,3,0)</f>
        <v>P02.02</v>
      </c>
      <c r="I394" s="141" t="s">
        <v>1114</v>
      </c>
      <c r="J394" s="146" t="str">
        <f>VLOOKUP(K394,[1]Scheme!B:C,2,0)</f>
        <v>P02</v>
      </c>
      <c r="K394" s="141" t="s">
        <v>1112</v>
      </c>
      <c r="N394" s="141"/>
    </row>
    <row r="395" spans="1:14">
      <c r="A395" s="151" t="s">
        <v>727</v>
      </c>
      <c r="B395" s="152">
        <v>90</v>
      </c>
      <c r="C395" s="151" t="s">
        <v>653</v>
      </c>
      <c r="D395" s="151" t="s">
        <v>504</v>
      </c>
      <c r="F395" s="153" t="str">
        <f t="shared" si="6"/>
        <v>P.901.11</v>
      </c>
      <c r="G395" s="141" t="s">
        <v>1125</v>
      </c>
      <c r="H395" s="146" t="str">
        <f>VLOOKUP(I395,[1]Scheme!D:F,3,0)</f>
        <v>P02.02</v>
      </c>
      <c r="I395" s="141" t="s">
        <v>1114</v>
      </c>
      <c r="J395" s="146" t="str">
        <f>VLOOKUP(K395,[1]Scheme!B:C,2,0)</f>
        <v>P02</v>
      </c>
      <c r="K395" s="141" t="s">
        <v>1112</v>
      </c>
      <c r="N395" s="141"/>
    </row>
    <row r="396" spans="1:14">
      <c r="A396" s="151" t="s">
        <v>727</v>
      </c>
      <c r="B396" s="152">
        <v>90</v>
      </c>
      <c r="C396" s="151" t="s">
        <v>653</v>
      </c>
      <c r="D396" s="151" t="s">
        <v>508</v>
      </c>
      <c r="F396" s="153" t="str">
        <f t="shared" si="6"/>
        <v>P.901.12</v>
      </c>
      <c r="G396" s="141" t="s">
        <v>1126</v>
      </c>
      <c r="H396" s="146" t="str">
        <f>VLOOKUP(I396,[1]Scheme!D:F,3,0)</f>
        <v>P02.02</v>
      </c>
      <c r="I396" s="141" t="s">
        <v>1114</v>
      </c>
      <c r="J396" s="146" t="str">
        <f>VLOOKUP(K396,[1]Scheme!B:C,2,0)</f>
        <v>P02</v>
      </c>
      <c r="K396" s="141" t="s">
        <v>1112</v>
      </c>
      <c r="N396" s="141"/>
    </row>
    <row r="397" spans="1:14">
      <c r="A397" s="151" t="s">
        <v>727</v>
      </c>
      <c r="B397" s="152">
        <v>90</v>
      </c>
      <c r="C397" s="151" t="s">
        <v>653</v>
      </c>
      <c r="D397" s="151" t="s">
        <v>511</v>
      </c>
      <c r="F397" s="153" t="str">
        <f t="shared" si="6"/>
        <v>P.901.13</v>
      </c>
      <c r="G397" s="141" t="s">
        <v>1127</v>
      </c>
      <c r="H397" s="146" t="str">
        <f>VLOOKUP(I397,[1]Scheme!D:F,3,0)</f>
        <v>P02.02</v>
      </c>
      <c r="I397" s="141" t="s">
        <v>1114</v>
      </c>
      <c r="J397" s="146" t="str">
        <f>VLOOKUP(K397,[1]Scheme!B:C,2,0)</f>
        <v>P02</v>
      </c>
      <c r="K397" s="141" t="s">
        <v>1112</v>
      </c>
      <c r="N397" s="141"/>
    </row>
    <row r="398" spans="1:14">
      <c r="A398" s="151" t="s">
        <v>727</v>
      </c>
      <c r="B398" s="152">
        <v>90</v>
      </c>
      <c r="C398" s="151" t="s">
        <v>653</v>
      </c>
      <c r="D398" s="151" t="s">
        <v>1053</v>
      </c>
      <c r="F398" s="153" t="str">
        <f t="shared" si="6"/>
        <v>P.901.14</v>
      </c>
      <c r="G398" s="141" t="s">
        <v>1128</v>
      </c>
      <c r="H398" s="146" t="str">
        <f>VLOOKUP(I398,[1]Scheme!D:F,3,0)</f>
        <v>P02.02</v>
      </c>
      <c r="I398" s="141" t="s">
        <v>1114</v>
      </c>
      <c r="J398" s="146" t="str">
        <f>VLOOKUP(K398,[1]Scheme!B:C,2,0)</f>
        <v>P02</v>
      </c>
      <c r="K398" s="141" t="s">
        <v>1112</v>
      </c>
      <c r="N398" s="141"/>
    </row>
    <row r="399" spans="1:14">
      <c r="A399" s="151" t="s">
        <v>727</v>
      </c>
      <c r="B399" s="152">
        <v>90</v>
      </c>
      <c r="C399" s="151" t="s">
        <v>653</v>
      </c>
      <c r="D399" s="151" t="s">
        <v>519</v>
      </c>
      <c r="F399" s="153" t="str">
        <f t="shared" si="6"/>
        <v>P.901.15</v>
      </c>
      <c r="G399" s="141" t="s">
        <v>1129</v>
      </c>
      <c r="H399" s="146" t="str">
        <f>VLOOKUP(I399,[1]Scheme!D:F,3,0)</f>
        <v>P02.02</v>
      </c>
      <c r="I399" s="141" t="s">
        <v>1114</v>
      </c>
      <c r="J399" s="146" t="str">
        <f>VLOOKUP(K399,[1]Scheme!B:C,2,0)</f>
        <v>P02</v>
      </c>
      <c r="K399" s="141" t="s">
        <v>1112</v>
      </c>
      <c r="N399" s="141"/>
    </row>
    <row r="400" spans="1:14">
      <c r="A400" s="151" t="s">
        <v>727</v>
      </c>
      <c r="B400" s="152">
        <v>90</v>
      </c>
      <c r="C400" s="151" t="s">
        <v>653</v>
      </c>
      <c r="D400" s="151" t="s">
        <v>1054</v>
      </c>
      <c r="F400" s="153" t="str">
        <f t="shared" si="6"/>
        <v>P.901.16</v>
      </c>
      <c r="G400" s="141" t="s">
        <v>1130</v>
      </c>
      <c r="H400" s="146" t="str">
        <f>VLOOKUP(I400,[1]Scheme!D:F,3,0)</f>
        <v>P02.02</v>
      </c>
      <c r="I400" s="141" t="s">
        <v>1114</v>
      </c>
      <c r="J400" s="146" t="str">
        <f>VLOOKUP(K400,[1]Scheme!B:C,2,0)</f>
        <v>P02</v>
      </c>
      <c r="K400" s="141" t="s">
        <v>1112</v>
      </c>
      <c r="N400" s="141"/>
    </row>
    <row r="401" spans="1:14">
      <c r="A401" s="151" t="s">
        <v>727</v>
      </c>
      <c r="B401" s="152">
        <v>90</v>
      </c>
      <c r="C401" s="151" t="s">
        <v>653</v>
      </c>
      <c r="D401" s="151" t="s">
        <v>1055</v>
      </c>
      <c r="F401" s="153" t="str">
        <f t="shared" si="6"/>
        <v>P.901.17</v>
      </c>
      <c r="G401" s="141" t="s">
        <v>1131</v>
      </c>
      <c r="H401" s="146" t="str">
        <f>VLOOKUP(I401,[1]Scheme!D:F,3,0)</f>
        <v>P02.02</v>
      </c>
      <c r="I401" s="141" t="s">
        <v>1114</v>
      </c>
      <c r="J401" s="146" t="str">
        <f>VLOOKUP(K401,[1]Scheme!B:C,2,0)</f>
        <v>P02</v>
      </c>
      <c r="K401" s="141" t="s">
        <v>1112</v>
      </c>
      <c r="N401" s="141"/>
    </row>
    <row r="402" spans="1:14">
      <c r="A402" s="151" t="s">
        <v>727</v>
      </c>
      <c r="B402" s="152">
        <v>90</v>
      </c>
      <c r="C402" s="151" t="s">
        <v>653</v>
      </c>
      <c r="D402" s="151" t="s">
        <v>1056</v>
      </c>
      <c r="F402" s="153" t="str">
        <f t="shared" si="6"/>
        <v>P.901.18</v>
      </c>
      <c r="G402" s="141" t="s">
        <v>1132</v>
      </c>
      <c r="H402" s="146" t="str">
        <f>VLOOKUP(I402,[1]Scheme!D:F,3,0)</f>
        <v>P02.02</v>
      </c>
      <c r="I402" s="141" t="s">
        <v>1114</v>
      </c>
      <c r="J402" s="146" t="str">
        <f>VLOOKUP(K402,[1]Scheme!B:C,2,0)</f>
        <v>P02</v>
      </c>
      <c r="K402" s="141" t="s">
        <v>1112</v>
      </c>
      <c r="N402" s="141"/>
    </row>
    <row r="403" spans="1:14">
      <c r="A403" s="151" t="s">
        <v>727</v>
      </c>
      <c r="B403" s="152">
        <v>90</v>
      </c>
      <c r="C403" s="151" t="s">
        <v>653</v>
      </c>
      <c r="D403" s="151" t="s">
        <v>1057</v>
      </c>
      <c r="F403" s="153" t="str">
        <f t="shared" si="6"/>
        <v>P.901.19</v>
      </c>
      <c r="G403" s="141" t="s">
        <v>1133</v>
      </c>
      <c r="H403" s="146" t="str">
        <f>VLOOKUP(I403,[1]Scheme!D:F,3,0)</f>
        <v>P02.02</v>
      </c>
      <c r="I403" s="141" t="s">
        <v>1114</v>
      </c>
      <c r="J403" s="146" t="str">
        <f>VLOOKUP(K403,[1]Scheme!B:C,2,0)</f>
        <v>P02</v>
      </c>
      <c r="K403" s="141" t="s">
        <v>1112</v>
      </c>
      <c r="N403" s="141"/>
    </row>
    <row r="404" spans="1:14">
      <c r="A404" s="151" t="s">
        <v>727</v>
      </c>
      <c r="B404" s="152">
        <v>90</v>
      </c>
      <c r="C404" s="151" t="s">
        <v>653</v>
      </c>
      <c r="D404" s="151" t="s">
        <v>1058</v>
      </c>
      <c r="F404" s="153" t="str">
        <f t="shared" si="6"/>
        <v>P.901.20</v>
      </c>
      <c r="G404" s="141" t="s">
        <v>1134</v>
      </c>
      <c r="H404" s="146" t="str">
        <f>VLOOKUP(I404,[1]Scheme!D:F,3,0)</f>
        <v>P02.02</v>
      </c>
      <c r="I404" s="141" t="s">
        <v>1114</v>
      </c>
      <c r="J404" s="146" t="str">
        <f>VLOOKUP(K404,[1]Scheme!B:C,2,0)</f>
        <v>P02</v>
      </c>
      <c r="K404" s="141" t="s">
        <v>1112</v>
      </c>
      <c r="N404" s="141"/>
    </row>
    <row r="405" spans="1:14">
      <c r="A405" s="151" t="s">
        <v>727</v>
      </c>
      <c r="B405" s="152">
        <v>90</v>
      </c>
      <c r="C405" s="151" t="s">
        <v>658</v>
      </c>
      <c r="D405" s="151"/>
      <c r="F405" s="153" t="str">
        <f t="shared" si="6"/>
        <v>P.902</v>
      </c>
      <c r="G405" s="141" t="s">
        <v>1135</v>
      </c>
      <c r="H405" s="146" t="str">
        <f>VLOOKUP(I405,[1]Scheme!D:F,3,0)</f>
        <v>P02.03</v>
      </c>
      <c r="I405" s="141" t="s">
        <v>1135</v>
      </c>
      <c r="J405" s="146" t="str">
        <f>VLOOKUP(K405,[1]Scheme!B:C,2,0)</f>
        <v>P02</v>
      </c>
      <c r="K405" s="141" t="s">
        <v>1112</v>
      </c>
      <c r="N405" s="141"/>
    </row>
    <row r="406" spans="1:14" s="149" customFormat="1" ht="12.75">
      <c r="A406" s="151" t="s">
        <v>727</v>
      </c>
      <c r="B406" s="152">
        <v>90</v>
      </c>
      <c r="C406" s="151" t="s">
        <v>660</v>
      </c>
      <c r="D406" s="151"/>
      <c r="E406" s="140"/>
      <c r="F406" s="153" t="str">
        <f t="shared" si="6"/>
        <v>P.903</v>
      </c>
      <c r="G406" s="141" t="s">
        <v>1136</v>
      </c>
      <c r="H406" s="146" t="str">
        <f>VLOOKUP(I406,[1]Scheme!D:F,3,0)</f>
        <v>P02.04</v>
      </c>
      <c r="I406" s="141" t="s">
        <v>1136</v>
      </c>
      <c r="J406" s="146" t="str">
        <f>VLOOKUP(K406,[1]Scheme!B:C,2,0)</f>
        <v>P02</v>
      </c>
      <c r="K406" s="141" t="s">
        <v>1112</v>
      </c>
      <c r="L406" s="148"/>
    </row>
    <row r="407" spans="1:14" s="149" customFormat="1" ht="12.75">
      <c r="A407" s="151" t="s">
        <v>727</v>
      </c>
      <c r="B407" s="152">
        <v>91</v>
      </c>
      <c r="C407" s="151"/>
      <c r="D407" s="151"/>
      <c r="E407" s="140"/>
      <c r="F407" s="153" t="str">
        <f t="shared" si="6"/>
        <v>P.91</v>
      </c>
      <c r="G407" s="141" t="s">
        <v>1137</v>
      </c>
      <c r="H407" s="146" t="str">
        <f>VLOOKUP(I407,[1]Scheme!D:F,3,0)</f>
        <v>P02.01</v>
      </c>
      <c r="I407" s="141" t="s">
        <v>1111</v>
      </c>
      <c r="J407" s="146" t="str">
        <f>VLOOKUP(K407,[1]Scheme!B:C,2,0)</f>
        <v>P02</v>
      </c>
      <c r="K407" s="141" t="s">
        <v>1112</v>
      </c>
      <c r="L407" s="148"/>
    </row>
    <row r="408" spans="1:14" s="149" customFormat="1" ht="12">
      <c r="A408" s="143" t="s">
        <v>727</v>
      </c>
      <c r="B408" s="144">
        <v>92</v>
      </c>
      <c r="C408" s="143"/>
      <c r="D408" s="143"/>
      <c r="E408" s="145"/>
      <c r="F408" s="146" t="str">
        <f t="shared" si="6"/>
        <v>P.92</v>
      </c>
      <c r="G408" s="147" t="s">
        <v>1138</v>
      </c>
      <c r="H408" s="146" t="str">
        <f>VLOOKUP(I408,[1]Scheme!D:F,3,0)</f>
        <v>P04.01</v>
      </c>
      <c r="I408" s="147" t="s">
        <v>1138</v>
      </c>
      <c r="J408" s="146" t="str">
        <f>VLOOKUP(K408,[1]Scheme!B:C,2,0)</f>
        <v>P04</v>
      </c>
      <c r="K408" s="147" t="s">
        <v>1139</v>
      </c>
      <c r="L408" s="148"/>
    </row>
    <row r="409" spans="1:14" s="149" customFormat="1" ht="12">
      <c r="A409" s="143" t="s">
        <v>727</v>
      </c>
      <c r="B409" s="144">
        <v>92</v>
      </c>
      <c r="C409" s="143"/>
      <c r="D409" s="143" t="s">
        <v>692</v>
      </c>
      <c r="E409" s="145"/>
      <c r="F409" s="146" t="str">
        <f t="shared" si="6"/>
        <v>P.92.01</v>
      </c>
      <c r="G409" s="147" t="s">
        <v>1140</v>
      </c>
      <c r="H409" s="146" t="str">
        <f>VLOOKUP(I409,[1]Scheme!D:F,3,0)</f>
        <v>P04.02</v>
      </c>
      <c r="I409" s="147" t="s">
        <v>1141</v>
      </c>
      <c r="J409" s="146" t="str">
        <f>VLOOKUP(K409,[1]Scheme!B:C,2,0)</f>
        <v>P04</v>
      </c>
      <c r="K409" s="147" t="s">
        <v>1139</v>
      </c>
      <c r="L409" s="148"/>
    </row>
    <row r="410" spans="1:14" s="149" customFormat="1" ht="12">
      <c r="A410" s="143" t="s">
        <v>727</v>
      </c>
      <c r="B410" s="144">
        <v>92</v>
      </c>
      <c r="C410" s="143"/>
      <c r="D410" s="143" t="s">
        <v>698</v>
      </c>
      <c r="E410" s="145"/>
      <c r="F410" s="146" t="str">
        <f t="shared" si="6"/>
        <v>P.92.02</v>
      </c>
      <c r="G410" s="147" t="s">
        <v>1142</v>
      </c>
      <c r="H410" s="146" t="str">
        <f>VLOOKUP(I410,[1]Scheme!D:F,3,0)</f>
        <v>P04.03</v>
      </c>
      <c r="I410" s="147" t="s">
        <v>1143</v>
      </c>
      <c r="J410" s="146" t="str">
        <f>VLOOKUP(K410,[1]Scheme!B:C,2,0)</f>
        <v>P04</v>
      </c>
      <c r="K410" s="147" t="s">
        <v>1139</v>
      </c>
      <c r="L410" s="148"/>
    </row>
    <row r="411" spans="1:14" s="149" customFormat="1" ht="12">
      <c r="A411" s="143" t="s">
        <v>727</v>
      </c>
      <c r="B411" s="144">
        <v>92</v>
      </c>
      <c r="C411" s="143"/>
      <c r="D411" s="143" t="s">
        <v>700</v>
      </c>
      <c r="E411" s="145"/>
      <c r="F411" s="146" t="str">
        <f t="shared" si="6"/>
        <v>P.92.03</v>
      </c>
      <c r="G411" s="147" t="s">
        <v>1144</v>
      </c>
      <c r="H411" s="146" t="str">
        <f>VLOOKUP(I411,[1]Scheme!D:F,3,0)</f>
        <v>P04.04</v>
      </c>
      <c r="I411" s="147" t="s">
        <v>1145</v>
      </c>
      <c r="J411" s="146" t="str">
        <f>VLOOKUP(K411,[1]Scheme!B:C,2,0)</f>
        <v>P04</v>
      </c>
      <c r="K411" s="147" t="s">
        <v>1139</v>
      </c>
      <c r="L411" s="148"/>
    </row>
    <row r="412" spans="1:14" s="149" customFormat="1" ht="12">
      <c r="A412" s="143" t="s">
        <v>727</v>
      </c>
      <c r="B412" s="144">
        <v>92</v>
      </c>
      <c r="C412" s="143"/>
      <c r="D412" s="143" t="s">
        <v>706</v>
      </c>
      <c r="E412" s="145"/>
      <c r="F412" s="146" t="str">
        <f t="shared" si="6"/>
        <v>P.92.04</v>
      </c>
      <c r="G412" s="147" t="s">
        <v>1146</v>
      </c>
      <c r="H412" s="146" t="str">
        <f>VLOOKUP(I412,[1]Scheme!D:F,3,0)</f>
        <v>P04.05</v>
      </c>
      <c r="I412" s="147" t="s">
        <v>1146</v>
      </c>
      <c r="J412" s="146" t="str">
        <f>VLOOKUP(K412,[1]Scheme!B:C,2,0)</f>
        <v>P04</v>
      </c>
      <c r="K412" s="147" t="s">
        <v>1139</v>
      </c>
      <c r="L412" s="148"/>
    </row>
    <row r="413" spans="1:14" s="149" customFormat="1" ht="12">
      <c r="A413" s="143" t="s">
        <v>727</v>
      </c>
      <c r="B413" s="144">
        <v>92</v>
      </c>
      <c r="C413" s="143"/>
      <c r="D413" s="143" t="s">
        <v>708</v>
      </c>
      <c r="E413" s="145"/>
      <c r="F413" s="146" t="str">
        <f t="shared" si="6"/>
        <v>P.92.05</v>
      </c>
      <c r="G413" s="147" t="s">
        <v>1147</v>
      </c>
      <c r="H413" s="146" t="str">
        <f>VLOOKUP(I413,[1]Scheme!D:F,3,0)</f>
        <v>P04.06</v>
      </c>
      <c r="I413" s="147" t="s">
        <v>1148</v>
      </c>
      <c r="J413" s="146" t="str">
        <f>VLOOKUP(K413,[1]Scheme!B:C,2,0)</f>
        <v>P04</v>
      </c>
      <c r="K413" s="147" t="s">
        <v>1139</v>
      </c>
      <c r="L413" s="148"/>
    </row>
    <row r="414" spans="1:14" s="149" customFormat="1" ht="12">
      <c r="A414" s="143" t="s">
        <v>727</v>
      </c>
      <c r="B414" s="144">
        <v>92</v>
      </c>
      <c r="C414" s="143"/>
      <c r="D414" s="143" t="s">
        <v>710</v>
      </c>
      <c r="E414" s="145"/>
      <c r="F414" s="146" t="str">
        <f t="shared" si="6"/>
        <v>P.92.06</v>
      </c>
      <c r="G414" s="147" t="s">
        <v>1149</v>
      </c>
      <c r="H414" s="146" t="str">
        <f>VLOOKUP(I414,[1]Scheme!D:F,3,0)</f>
        <v>P04.07</v>
      </c>
      <c r="I414" s="147" t="s">
        <v>1149</v>
      </c>
      <c r="J414" s="146" t="str">
        <f>VLOOKUP(K414,[1]Scheme!B:C,2,0)</f>
        <v>P04</v>
      </c>
      <c r="K414" s="147" t="s">
        <v>1139</v>
      </c>
      <c r="L414" s="148"/>
    </row>
    <row r="415" spans="1:14" s="149" customFormat="1" ht="12">
      <c r="A415" s="143" t="s">
        <v>727</v>
      </c>
      <c r="B415" s="144">
        <v>92</v>
      </c>
      <c r="C415" s="143"/>
      <c r="D415" s="143" t="s">
        <v>811</v>
      </c>
      <c r="E415" s="145"/>
      <c r="F415" s="146" t="str">
        <f t="shared" si="6"/>
        <v>P.92.07</v>
      </c>
      <c r="G415" s="147" t="s">
        <v>1116</v>
      </c>
      <c r="H415" s="146" t="str">
        <f>VLOOKUP(I415,[1]Scheme!D:F,3,0)</f>
        <v>P04.08</v>
      </c>
      <c r="I415" s="147" t="s">
        <v>1116</v>
      </c>
      <c r="J415" s="146" t="str">
        <f>VLOOKUP(K415,[1]Scheme!B:C,2,0)</f>
        <v>P04</v>
      </c>
      <c r="K415" s="147" t="s">
        <v>1139</v>
      </c>
      <c r="L415" s="148"/>
    </row>
    <row r="416" spans="1:14" s="149" customFormat="1" ht="12">
      <c r="A416" s="143" t="s">
        <v>727</v>
      </c>
      <c r="B416" s="144">
        <v>92</v>
      </c>
      <c r="C416" s="143"/>
      <c r="D416" s="143" t="s">
        <v>813</v>
      </c>
      <c r="E416" s="145"/>
      <c r="F416" s="146" t="str">
        <f t="shared" si="6"/>
        <v>P.92.08</v>
      </c>
      <c r="G416" s="147" t="s">
        <v>1150</v>
      </c>
      <c r="H416" s="146" t="str">
        <f>VLOOKUP(I416,[1]Scheme!D:F,3,0)</f>
        <v>P04.09</v>
      </c>
      <c r="I416" s="147" t="s">
        <v>1150</v>
      </c>
      <c r="J416" s="146" t="str">
        <f>VLOOKUP(K416,[1]Scheme!B:C,2,0)</f>
        <v>P04</v>
      </c>
      <c r="K416" s="147" t="s">
        <v>1139</v>
      </c>
      <c r="L416" s="148"/>
    </row>
    <row r="417" spans="1:12" s="149" customFormat="1" ht="12">
      <c r="A417" s="143" t="s">
        <v>727</v>
      </c>
      <c r="B417" s="144">
        <v>92</v>
      </c>
      <c r="C417" s="143"/>
      <c r="D417" s="143" t="s">
        <v>815</v>
      </c>
      <c r="E417" s="145"/>
      <c r="F417" s="146" t="str">
        <f t="shared" si="6"/>
        <v>P.92.09</v>
      </c>
      <c r="G417" s="147" t="s">
        <v>1151</v>
      </c>
      <c r="H417" s="146" t="str">
        <f>VLOOKUP(I417,[1]Scheme!D:F,3,0)</f>
        <v>P04.10</v>
      </c>
      <c r="I417" s="147" t="s">
        <v>1151</v>
      </c>
      <c r="J417" s="146" t="str">
        <f>VLOOKUP(K417,[1]Scheme!B:C,2,0)</f>
        <v>P04</v>
      </c>
      <c r="K417" s="147" t="s">
        <v>1139</v>
      </c>
      <c r="L417" s="148"/>
    </row>
    <row r="418" spans="1:12" s="149" customFormat="1" ht="12">
      <c r="A418" s="143" t="s">
        <v>727</v>
      </c>
      <c r="B418" s="144">
        <v>92</v>
      </c>
      <c r="C418" s="143"/>
      <c r="D418" s="143" t="s">
        <v>499</v>
      </c>
      <c r="E418" s="145"/>
      <c r="F418" s="146" t="str">
        <f t="shared" si="6"/>
        <v>P.92.10</v>
      </c>
      <c r="G418" s="147" t="s">
        <v>1152</v>
      </c>
      <c r="H418" s="146" t="str">
        <f>VLOOKUP(I418,[1]Scheme!D:F,3,0)</f>
        <v>P04.11</v>
      </c>
      <c r="I418" s="147" t="s">
        <v>1153</v>
      </c>
      <c r="J418" s="146" t="str">
        <f>VLOOKUP(K418,[1]Scheme!B:C,2,0)</f>
        <v>P04</v>
      </c>
      <c r="K418" s="147" t="s">
        <v>1139</v>
      </c>
      <c r="L418" s="148"/>
    </row>
    <row r="419" spans="1:12" s="149" customFormat="1" ht="12">
      <c r="A419" s="143" t="s">
        <v>727</v>
      </c>
      <c r="B419" s="144">
        <v>92</v>
      </c>
      <c r="C419" s="143"/>
      <c r="D419" s="143" t="s">
        <v>504</v>
      </c>
      <c r="E419" s="145"/>
      <c r="F419" s="146" t="str">
        <f t="shared" si="6"/>
        <v>P.92.11</v>
      </c>
      <c r="G419" s="147" t="s">
        <v>761</v>
      </c>
      <c r="H419" s="146" t="str">
        <f>VLOOKUP(I419,[1]Scheme!D:F,3,0)</f>
        <v>P04.11</v>
      </c>
      <c r="I419" s="147" t="s">
        <v>1153</v>
      </c>
      <c r="J419" s="146" t="str">
        <f>VLOOKUP(K419,[1]Scheme!B:C,2,0)</f>
        <v>P04</v>
      </c>
      <c r="K419" s="147" t="s">
        <v>1139</v>
      </c>
      <c r="L419" s="148"/>
    </row>
    <row r="420" spans="1:12" s="149" customFormat="1" ht="12">
      <c r="A420" s="143" t="s">
        <v>727</v>
      </c>
      <c r="B420" s="144">
        <v>92</v>
      </c>
      <c r="C420" s="143"/>
      <c r="D420" s="143" t="s">
        <v>508</v>
      </c>
      <c r="E420" s="145"/>
      <c r="F420" s="146" t="str">
        <f t="shared" si="6"/>
        <v>P.92.12</v>
      </c>
      <c r="G420" s="147" t="s">
        <v>755</v>
      </c>
      <c r="H420" s="146" t="str">
        <f>VLOOKUP(I420,[1]Scheme!D:F,3,0)</f>
        <v>P04.11</v>
      </c>
      <c r="I420" s="147" t="s">
        <v>1153</v>
      </c>
      <c r="J420" s="146" t="str">
        <f>VLOOKUP(K420,[1]Scheme!B:C,2,0)</f>
        <v>P04</v>
      </c>
      <c r="K420" s="147" t="s">
        <v>1139</v>
      </c>
      <c r="L420" s="148"/>
    </row>
    <row r="421" spans="1:12" s="149" customFormat="1" ht="12">
      <c r="A421" s="143" t="s">
        <v>727</v>
      </c>
      <c r="B421" s="144">
        <v>92</v>
      </c>
      <c r="C421" s="143"/>
      <c r="D421" s="143" t="s">
        <v>511</v>
      </c>
      <c r="E421" s="145"/>
      <c r="F421" s="146" t="str">
        <f>CONCATENATE(A421,".",B421&amp;C421,IF(D421="","",CONCATENATE(".",D421)))</f>
        <v>P.92.13</v>
      </c>
      <c r="G421" s="147" t="s">
        <v>1154</v>
      </c>
      <c r="H421" s="146" t="str">
        <f>VLOOKUP(I421,[1]Scheme!D:F,3,0)</f>
        <v>P04.11</v>
      </c>
      <c r="I421" s="147" t="s">
        <v>1153</v>
      </c>
      <c r="J421" s="146" t="str">
        <f>VLOOKUP(K421,[1]Scheme!B:C,2,0)</f>
        <v>P04</v>
      </c>
      <c r="K421" s="147" t="s">
        <v>1139</v>
      </c>
      <c r="L421" s="148"/>
    </row>
    <row r="422" spans="1:12" s="149" customFormat="1" ht="12">
      <c r="A422" s="143" t="s">
        <v>727</v>
      </c>
      <c r="B422" s="144">
        <v>92</v>
      </c>
      <c r="C422" s="143"/>
      <c r="D422" s="143" t="s">
        <v>1053</v>
      </c>
      <c r="E422" s="145"/>
      <c r="F422" s="146" t="str">
        <f>CONCATENATE(A422,".",B422&amp;C422,IF(D422="","",CONCATENATE(".",D422)))</f>
        <v>P.92.14</v>
      </c>
      <c r="G422" s="147" t="s">
        <v>1129</v>
      </c>
      <c r="H422" s="146" t="str">
        <f>VLOOKUP(I422,[1]Scheme!D:F,3,0)</f>
        <v>P04.11</v>
      </c>
      <c r="I422" s="147" t="s">
        <v>1153</v>
      </c>
      <c r="J422" s="146" t="str">
        <f>VLOOKUP(K422,[1]Scheme!B:C,2,0)</f>
        <v>P04</v>
      </c>
      <c r="K422" s="147" t="s">
        <v>1139</v>
      </c>
      <c r="L422" s="148"/>
    </row>
    <row r="423" spans="1:12" s="149" customFormat="1" ht="12">
      <c r="A423" s="143" t="s">
        <v>727</v>
      </c>
      <c r="B423" s="144">
        <v>92</v>
      </c>
      <c r="C423" s="143"/>
      <c r="D423" s="143" t="s">
        <v>519</v>
      </c>
      <c r="E423" s="145"/>
      <c r="F423" s="146" t="str">
        <f>CONCATENATE(A423,".",B423&amp;C423,IF(D423="","",CONCATENATE(".",D423)))</f>
        <v>P.92.15</v>
      </c>
      <c r="G423" s="147" t="s">
        <v>1128</v>
      </c>
      <c r="H423" s="146" t="str">
        <f>VLOOKUP(I423,[1]Scheme!D:F,3,0)</f>
        <v>P04.11</v>
      </c>
      <c r="I423" s="147" t="s">
        <v>1153</v>
      </c>
      <c r="J423" s="146" t="str">
        <f>VLOOKUP(K423,[1]Scheme!B:C,2,0)</f>
        <v>P04</v>
      </c>
      <c r="K423" s="147" t="s">
        <v>1139</v>
      </c>
      <c r="L423" s="148"/>
    </row>
    <row r="424" spans="1:12" s="149" customFormat="1" ht="12">
      <c r="A424" s="143" t="s">
        <v>727</v>
      </c>
      <c r="B424" s="144">
        <v>92</v>
      </c>
      <c r="C424" s="143"/>
      <c r="D424" s="143" t="s">
        <v>1058</v>
      </c>
      <c r="E424" s="145"/>
      <c r="F424" s="146" t="str">
        <f t="shared" si="6"/>
        <v>P.92.20</v>
      </c>
      <c r="G424" s="147" t="s">
        <v>1106</v>
      </c>
      <c r="H424" s="146" t="str">
        <f>VLOOKUP(I424,[1]Scheme!D:F,3,0)</f>
        <v>P04.11</v>
      </c>
      <c r="I424" s="147" t="s">
        <v>1153</v>
      </c>
      <c r="J424" s="146" t="str">
        <f>VLOOKUP(K424,[1]Scheme!B:C,2,0)</f>
        <v>P04</v>
      </c>
      <c r="K424" s="147" t="s">
        <v>1139</v>
      </c>
      <c r="L424" s="148"/>
    </row>
    <row r="425" spans="1:12" s="149" customFormat="1" ht="12">
      <c r="A425" s="143" t="s">
        <v>727</v>
      </c>
      <c r="B425" s="144">
        <v>93</v>
      </c>
      <c r="C425" s="143"/>
      <c r="D425" s="143"/>
      <c r="E425" s="145"/>
      <c r="F425" s="146" t="str">
        <f t="shared" si="6"/>
        <v>P.93</v>
      </c>
      <c r="G425" s="147" t="s">
        <v>1155</v>
      </c>
      <c r="H425" s="146" t="str">
        <f>VLOOKUP(I425,[1]Scheme!D:F,3,0)</f>
        <v>P03.01</v>
      </c>
      <c r="I425" s="147" t="s">
        <v>1155</v>
      </c>
      <c r="J425" s="146" t="str">
        <f>VLOOKUP(K425,[1]Scheme!B:C,2,0)</f>
        <v>P03</v>
      </c>
      <c r="K425" s="147" t="s">
        <v>1156</v>
      </c>
      <c r="L425" s="148"/>
    </row>
    <row r="426" spans="1:12" s="149" customFormat="1" ht="12">
      <c r="A426" s="143" t="s">
        <v>727</v>
      </c>
      <c r="B426" s="144">
        <v>93</v>
      </c>
      <c r="C426" s="143" t="s">
        <v>653</v>
      </c>
      <c r="D426" s="143"/>
      <c r="E426" s="145"/>
      <c r="F426" s="146" t="str">
        <f t="shared" si="6"/>
        <v>P.931</v>
      </c>
      <c r="G426" s="147" t="s">
        <v>1157</v>
      </c>
      <c r="H426" s="146" t="str">
        <f>VLOOKUP(I426,[1]Scheme!D:F,3,0)</f>
        <v>P03.02</v>
      </c>
      <c r="I426" s="147" t="s">
        <v>1158</v>
      </c>
      <c r="J426" s="146" t="str">
        <f>VLOOKUP(K426,[1]Scheme!B:C,2,0)</f>
        <v>P03</v>
      </c>
      <c r="K426" s="147" t="s">
        <v>1156</v>
      </c>
      <c r="L426" s="148"/>
    </row>
    <row r="427" spans="1:12" s="149" customFormat="1" ht="12">
      <c r="A427" s="143" t="s">
        <v>727</v>
      </c>
      <c r="B427" s="144">
        <v>93</v>
      </c>
      <c r="C427" s="143" t="s">
        <v>658</v>
      </c>
      <c r="D427" s="143" t="s">
        <v>692</v>
      </c>
      <c r="E427" s="145"/>
      <c r="F427" s="146" t="str">
        <f t="shared" si="6"/>
        <v>P.932.01</v>
      </c>
      <c r="G427" s="147" t="s">
        <v>1140</v>
      </c>
      <c r="H427" s="146" t="str">
        <f>VLOOKUP(I427,[1]Scheme!D:F,3,0)</f>
        <v>P03.03</v>
      </c>
      <c r="I427" s="147" t="s">
        <v>1159</v>
      </c>
      <c r="J427" s="146" t="str">
        <f>VLOOKUP(K427,[1]Scheme!B:C,2,0)</f>
        <v>P03</v>
      </c>
      <c r="K427" s="147" t="s">
        <v>1156</v>
      </c>
      <c r="L427" s="148"/>
    </row>
    <row r="428" spans="1:12" s="149" customFormat="1" ht="12">
      <c r="A428" s="143" t="s">
        <v>727</v>
      </c>
      <c r="B428" s="144">
        <v>93</v>
      </c>
      <c r="C428" s="143" t="s">
        <v>658</v>
      </c>
      <c r="D428" s="143" t="s">
        <v>698</v>
      </c>
      <c r="E428" s="145"/>
      <c r="F428" s="146" t="str">
        <f t="shared" si="6"/>
        <v>P.932.02</v>
      </c>
      <c r="G428" s="147" t="s">
        <v>1160</v>
      </c>
      <c r="H428" s="146" t="str">
        <f>VLOOKUP(I428,[1]Scheme!D:F,3,0)</f>
        <v>P03.03</v>
      </c>
      <c r="I428" s="147" t="s">
        <v>1159</v>
      </c>
      <c r="J428" s="146" t="str">
        <f>VLOOKUP(K428,[1]Scheme!B:C,2,0)</f>
        <v>P03</v>
      </c>
      <c r="K428" s="147" t="s">
        <v>1156</v>
      </c>
      <c r="L428" s="148"/>
    </row>
    <row r="429" spans="1:12" s="149" customFormat="1" ht="12">
      <c r="A429" s="143" t="s">
        <v>727</v>
      </c>
      <c r="B429" s="144">
        <v>93</v>
      </c>
      <c r="C429" s="143" t="s">
        <v>660</v>
      </c>
      <c r="D429" s="143"/>
      <c r="E429" s="145"/>
      <c r="F429" s="146" t="str">
        <f t="shared" si="6"/>
        <v>P.933</v>
      </c>
      <c r="G429" s="147" t="s">
        <v>1161</v>
      </c>
      <c r="H429" s="146" t="str">
        <f>VLOOKUP(I429,[1]Scheme!D:F,3,0)</f>
        <v>P03.04</v>
      </c>
      <c r="I429" s="147" t="s">
        <v>1161</v>
      </c>
      <c r="J429" s="146" t="str">
        <f>VLOOKUP(K429,[1]Scheme!B:C,2,0)</f>
        <v>P03</v>
      </c>
      <c r="K429" s="147" t="s">
        <v>1156</v>
      </c>
      <c r="L429" s="148"/>
    </row>
    <row r="430" spans="1:12" s="149" customFormat="1" ht="12">
      <c r="A430" s="143" t="s">
        <v>727</v>
      </c>
      <c r="B430" s="144">
        <v>93</v>
      </c>
      <c r="C430" s="143" t="s">
        <v>662</v>
      </c>
      <c r="D430" s="143"/>
      <c r="E430" s="145"/>
      <c r="F430" s="146" t="str">
        <f t="shared" si="6"/>
        <v>P.934</v>
      </c>
      <c r="G430" s="147" t="s">
        <v>1162</v>
      </c>
      <c r="H430" s="146" t="str">
        <f>VLOOKUP(I430,[1]Scheme!D:F,3,0)</f>
        <v>P03.07</v>
      </c>
      <c r="I430" s="147" t="s">
        <v>1163</v>
      </c>
      <c r="J430" s="146" t="str">
        <f>VLOOKUP(K430,[1]Scheme!B:C,2,0)</f>
        <v>P03</v>
      </c>
      <c r="K430" s="147" t="s">
        <v>1156</v>
      </c>
      <c r="L430" s="148"/>
    </row>
    <row r="431" spans="1:12" s="149" customFormat="1" ht="12">
      <c r="A431" s="143" t="s">
        <v>727</v>
      </c>
      <c r="B431" s="144">
        <v>93</v>
      </c>
      <c r="C431" s="143" t="s">
        <v>662</v>
      </c>
      <c r="D431" s="143" t="s">
        <v>692</v>
      </c>
      <c r="E431" s="145"/>
      <c r="F431" s="146" t="str">
        <f t="shared" si="6"/>
        <v>P.934.01</v>
      </c>
      <c r="G431" s="147" t="s">
        <v>1164</v>
      </c>
      <c r="H431" s="146" t="str">
        <f>VLOOKUP(I431,[1]Scheme!D:F,3,0)</f>
        <v>P03.07</v>
      </c>
      <c r="I431" s="147" t="s">
        <v>1163</v>
      </c>
      <c r="J431" s="146" t="str">
        <f>VLOOKUP(K431,[1]Scheme!B:C,2,0)</f>
        <v>P03</v>
      </c>
      <c r="K431" s="147" t="s">
        <v>1156</v>
      </c>
      <c r="L431" s="148"/>
    </row>
    <row r="432" spans="1:12" s="149" customFormat="1" ht="12">
      <c r="A432" s="143" t="s">
        <v>727</v>
      </c>
      <c r="B432" s="144">
        <v>93</v>
      </c>
      <c r="C432" s="143" t="s">
        <v>668</v>
      </c>
      <c r="D432" s="143"/>
      <c r="E432" s="145"/>
      <c r="F432" s="146" t="str">
        <f t="shared" si="6"/>
        <v>P.935</v>
      </c>
      <c r="G432" s="147" t="s">
        <v>1132</v>
      </c>
      <c r="H432" s="146" t="str">
        <f>VLOOKUP(I432,[1]Scheme!D:F,3,0)</f>
        <v>P03.07</v>
      </c>
      <c r="I432" s="147" t="s">
        <v>1163</v>
      </c>
      <c r="J432" s="146" t="str">
        <f>VLOOKUP(K432,[1]Scheme!B:C,2,0)</f>
        <v>P03</v>
      </c>
      <c r="K432" s="147" t="s">
        <v>1156</v>
      </c>
      <c r="L432" s="148"/>
    </row>
    <row r="433" spans="1:14" s="149" customFormat="1" ht="12">
      <c r="A433" s="143" t="s">
        <v>727</v>
      </c>
      <c r="B433" s="144">
        <v>93</v>
      </c>
      <c r="C433" s="143" t="s">
        <v>670</v>
      </c>
      <c r="D433" s="143"/>
      <c r="E433" s="145"/>
      <c r="F433" s="146" t="str">
        <f t="shared" si="6"/>
        <v>P.936</v>
      </c>
      <c r="G433" s="147" t="s">
        <v>1165</v>
      </c>
      <c r="H433" s="146" t="str">
        <f>VLOOKUP(I433,[1]Scheme!D:F,3,0)</f>
        <v>P03.07</v>
      </c>
      <c r="I433" s="147" t="s">
        <v>1163</v>
      </c>
      <c r="J433" s="146" t="str">
        <f>VLOOKUP(K433,[1]Scheme!B:C,2,0)</f>
        <v>P03</v>
      </c>
      <c r="K433" s="147" t="s">
        <v>1156</v>
      </c>
      <c r="L433" s="148"/>
    </row>
    <row r="434" spans="1:14">
      <c r="A434" s="143" t="s">
        <v>727</v>
      </c>
      <c r="B434" s="144">
        <v>93</v>
      </c>
      <c r="C434" s="143" t="s">
        <v>681</v>
      </c>
      <c r="D434" s="143"/>
      <c r="E434" s="145"/>
      <c r="F434" s="146" t="str">
        <f t="shared" si="6"/>
        <v>P.937</v>
      </c>
      <c r="G434" s="147" t="s">
        <v>1165</v>
      </c>
      <c r="H434" s="146" t="str">
        <f>VLOOKUP(I434,[1]Scheme!D:F,3,0)</f>
        <v>P03.07</v>
      </c>
      <c r="I434" s="147" t="s">
        <v>1163</v>
      </c>
      <c r="J434" s="146" t="str">
        <f>VLOOKUP(K434,[1]Scheme!B:C,2,0)</f>
        <v>P03</v>
      </c>
      <c r="K434" s="147" t="s">
        <v>1156</v>
      </c>
      <c r="N434" s="141"/>
    </row>
    <row r="435" spans="1:14" s="149" customFormat="1" ht="12">
      <c r="A435" s="143" t="s">
        <v>727</v>
      </c>
      <c r="B435" s="144">
        <v>93</v>
      </c>
      <c r="C435" s="143" t="s">
        <v>672</v>
      </c>
      <c r="D435" s="143" t="s">
        <v>1058</v>
      </c>
      <c r="E435" s="145"/>
      <c r="F435" s="146" t="str">
        <f t="shared" si="6"/>
        <v>P.939.20</v>
      </c>
      <c r="G435" s="147" t="s">
        <v>1106</v>
      </c>
      <c r="H435" s="146" t="str">
        <f>VLOOKUP(I435,[1]Scheme!D:F,3,0)</f>
        <v>P03.07</v>
      </c>
      <c r="I435" s="147" t="s">
        <v>1163</v>
      </c>
      <c r="J435" s="146" t="str">
        <f>VLOOKUP(K435,[1]Scheme!B:C,2,0)</f>
        <v>P03</v>
      </c>
      <c r="K435" s="147" t="s">
        <v>1156</v>
      </c>
      <c r="L435" s="148" t="s">
        <v>353</v>
      </c>
    </row>
    <row r="436" spans="1:14" s="149" customFormat="1" ht="12.75">
      <c r="A436" s="151" t="s">
        <v>727</v>
      </c>
      <c r="B436" s="152">
        <v>94</v>
      </c>
      <c r="C436" s="151"/>
      <c r="D436" s="151"/>
      <c r="E436" s="140"/>
      <c r="F436" s="153" t="str">
        <f t="shared" si="6"/>
        <v>P.94</v>
      </c>
      <c r="G436" s="141" t="s">
        <v>1166</v>
      </c>
      <c r="H436" s="146" t="str">
        <f>VLOOKUP(I436,[1]Scheme!D:F,3,0)</f>
        <v>P05.11</v>
      </c>
      <c r="I436" s="141" t="s">
        <v>1072</v>
      </c>
      <c r="J436" s="146" t="str">
        <f>VLOOKUP(K436,[1]Scheme!B:C,2,0)</f>
        <v>P05</v>
      </c>
      <c r="K436" s="141" t="s">
        <v>1073</v>
      </c>
      <c r="L436" s="148"/>
    </row>
    <row r="437" spans="1:14" s="149" customFormat="1" ht="12">
      <c r="A437" s="143" t="s">
        <v>727</v>
      </c>
      <c r="B437" s="144">
        <v>94</v>
      </c>
      <c r="C437" s="143" t="s">
        <v>653</v>
      </c>
      <c r="D437" s="143"/>
      <c r="E437" s="145"/>
      <c r="F437" s="146" t="str">
        <f t="shared" si="6"/>
        <v>P.941</v>
      </c>
      <c r="G437" s="147" t="s">
        <v>1167</v>
      </c>
      <c r="H437" s="146" t="str">
        <f>VLOOKUP(I437,[1]Scheme!D:F,3,0)</f>
        <v>P05.08</v>
      </c>
      <c r="I437" s="147" t="s">
        <v>1167</v>
      </c>
      <c r="J437" s="146" t="str">
        <f>VLOOKUP(K437,[1]Scheme!B:C,2,0)</f>
        <v>P05</v>
      </c>
      <c r="K437" s="147" t="s">
        <v>1073</v>
      </c>
      <c r="L437" s="148"/>
    </row>
    <row r="438" spans="1:14" s="149" customFormat="1" ht="12">
      <c r="A438" s="143" t="s">
        <v>727</v>
      </c>
      <c r="B438" s="144">
        <v>94</v>
      </c>
      <c r="C438" s="143" t="s">
        <v>658</v>
      </c>
      <c r="D438" s="143"/>
      <c r="E438" s="145"/>
      <c r="F438" s="146" t="str">
        <f t="shared" si="6"/>
        <v>P.942</v>
      </c>
      <c r="G438" s="147" t="s">
        <v>1168</v>
      </c>
      <c r="H438" s="146" t="str">
        <f>VLOOKUP(I438,[1]Scheme!D:F,3,0)</f>
        <v>P06.01</v>
      </c>
      <c r="I438" s="147" t="s">
        <v>1075</v>
      </c>
      <c r="J438" s="146" t="str">
        <f>VLOOKUP(K438,[1]Scheme!B:C,2,0)</f>
        <v>P06</v>
      </c>
      <c r="K438" s="147" t="s">
        <v>1075</v>
      </c>
      <c r="L438" s="148"/>
    </row>
    <row r="439" spans="1:14" s="149" customFormat="1" ht="12">
      <c r="A439" s="143" t="s">
        <v>727</v>
      </c>
      <c r="B439" s="144">
        <v>94</v>
      </c>
      <c r="C439" s="143" t="s">
        <v>660</v>
      </c>
      <c r="D439" s="143"/>
      <c r="E439" s="145"/>
      <c r="F439" s="146" t="str">
        <f t="shared" si="6"/>
        <v>P.943</v>
      </c>
      <c r="G439" s="147" t="s">
        <v>1169</v>
      </c>
      <c r="H439" s="146" t="str">
        <f>VLOOKUP(I439,[1]Scheme!D:F,3,0)</f>
        <v>P05.07</v>
      </c>
      <c r="I439" s="147" t="s">
        <v>1077</v>
      </c>
      <c r="J439" s="146" t="str">
        <f>VLOOKUP(K439,[1]Scheme!B:C,2,0)</f>
        <v>P05</v>
      </c>
      <c r="K439" s="147" t="s">
        <v>1073</v>
      </c>
      <c r="L439" s="148"/>
    </row>
    <row r="440" spans="1:14" s="149" customFormat="1" ht="12">
      <c r="A440" s="143" t="s">
        <v>727</v>
      </c>
      <c r="B440" s="144">
        <v>94</v>
      </c>
      <c r="C440" s="143" t="s">
        <v>662</v>
      </c>
      <c r="D440" s="143"/>
      <c r="E440" s="145"/>
      <c r="F440" s="146" t="str">
        <f t="shared" si="6"/>
        <v>P.944</v>
      </c>
      <c r="G440" s="147" t="s">
        <v>1170</v>
      </c>
      <c r="H440" s="146" t="str">
        <f>VLOOKUP(I440,[1]Scheme!D:F,3,0)</f>
        <v>P05.05</v>
      </c>
      <c r="I440" s="147" t="s">
        <v>1171</v>
      </c>
      <c r="J440" s="146" t="str">
        <f>VLOOKUP(K440,[1]Scheme!B:C,2,0)</f>
        <v>P05</v>
      </c>
      <c r="K440" s="147" t="s">
        <v>1073</v>
      </c>
      <c r="L440" s="148"/>
    </row>
    <row r="441" spans="1:14" s="149" customFormat="1" ht="12">
      <c r="A441" s="143" t="s">
        <v>727</v>
      </c>
      <c r="B441" s="144">
        <v>94</v>
      </c>
      <c r="C441" s="143" t="s">
        <v>662</v>
      </c>
      <c r="D441" s="143" t="s">
        <v>653</v>
      </c>
      <c r="E441" s="145"/>
      <c r="F441" s="146" t="str">
        <f t="shared" si="6"/>
        <v>P.944.1</v>
      </c>
      <c r="G441" s="147" t="s">
        <v>1172</v>
      </c>
      <c r="H441" s="146" t="str">
        <f>VLOOKUP(I441,[1]Scheme!D:F,3,0)</f>
        <v>P05.06</v>
      </c>
      <c r="I441" s="147" t="s">
        <v>1173</v>
      </c>
      <c r="J441" s="146" t="str">
        <f>VLOOKUP(K441,[1]Scheme!B:C,2,0)</f>
        <v>P05</v>
      </c>
      <c r="K441" s="147" t="s">
        <v>1073</v>
      </c>
      <c r="L441" s="148"/>
    </row>
    <row r="442" spans="1:14" s="149" customFormat="1" ht="12">
      <c r="A442" s="143" t="s">
        <v>727</v>
      </c>
      <c r="B442" s="144">
        <v>94</v>
      </c>
      <c r="C442" s="143" t="s">
        <v>668</v>
      </c>
      <c r="D442" s="143"/>
      <c r="E442" s="145"/>
      <c r="F442" s="146" t="str">
        <f t="shared" si="6"/>
        <v>P.945</v>
      </c>
      <c r="G442" s="147" t="s">
        <v>1174</v>
      </c>
      <c r="H442" s="146" t="str">
        <f>VLOOKUP(I442,[1]Scheme!D:F,3,0)</f>
        <v>P06.01</v>
      </c>
      <c r="I442" s="147" t="s">
        <v>1075</v>
      </c>
      <c r="J442" s="146" t="str">
        <f>VLOOKUP(K442,[1]Scheme!B:C,2,0)</f>
        <v>P06</v>
      </c>
      <c r="K442" s="147" t="s">
        <v>1075</v>
      </c>
      <c r="L442" s="148"/>
    </row>
    <row r="443" spans="1:14" s="149" customFormat="1" ht="12">
      <c r="A443" s="143" t="s">
        <v>727</v>
      </c>
      <c r="B443" s="144">
        <v>94</v>
      </c>
      <c r="C443" s="143" t="s">
        <v>670</v>
      </c>
      <c r="D443" s="143"/>
      <c r="E443" s="145"/>
      <c r="F443" s="146" t="str">
        <f t="shared" si="6"/>
        <v>P.946</v>
      </c>
      <c r="G443" s="147" t="s">
        <v>1175</v>
      </c>
      <c r="H443" s="146" t="str">
        <f>VLOOKUP(I443,[1]Scheme!D:F,3,0)</f>
        <v>P05.10</v>
      </c>
      <c r="I443" s="147" t="s">
        <v>1176</v>
      </c>
      <c r="J443" s="146" t="str">
        <f>VLOOKUP(K443,[1]Scheme!B:C,2,0)</f>
        <v>P05</v>
      </c>
      <c r="K443" s="147" t="s">
        <v>1073</v>
      </c>
      <c r="L443" s="148"/>
    </row>
    <row r="444" spans="1:14" s="149" customFormat="1" ht="12">
      <c r="A444" s="143" t="s">
        <v>727</v>
      </c>
      <c r="B444" s="144">
        <v>94</v>
      </c>
      <c r="C444" s="143" t="s">
        <v>681</v>
      </c>
      <c r="D444" s="143"/>
      <c r="E444" s="145"/>
      <c r="F444" s="146" t="str">
        <f t="shared" si="6"/>
        <v>P.947</v>
      </c>
      <c r="G444" s="147" t="s">
        <v>1177</v>
      </c>
      <c r="H444" s="146" t="str">
        <f>VLOOKUP(I444,[1]Scheme!D:F,3,0)</f>
        <v>P05.14</v>
      </c>
      <c r="I444" s="147" t="s">
        <v>1177</v>
      </c>
      <c r="J444" s="146" t="str">
        <f>VLOOKUP(K444,[1]Scheme!B:C,2,0)</f>
        <v>P05</v>
      </c>
      <c r="K444" s="147" t="s">
        <v>1073</v>
      </c>
      <c r="L444" s="148"/>
    </row>
    <row r="445" spans="1:14" s="149" customFormat="1" ht="12">
      <c r="A445" s="143" t="s">
        <v>727</v>
      </c>
      <c r="B445" s="144">
        <v>94</v>
      </c>
      <c r="C445" s="143" t="s">
        <v>763</v>
      </c>
      <c r="D445" s="143"/>
      <c r="E445" s="145"/>
      <c r="F445" s="146" t="str">
        <f t="shared" si="6"/>
        <v>P.948</v>
      </c>
      <c r="G445" s="147" t="s">
        <v>1178</v>
      </c>
      <c r="H445" s="146" t="str">
        <f>VLOOKUP(I445,[1]Scheme!D:F,3,0)</f>
        <v>P05.01</v>
      </c>
      <c r="I445" s="147" t="s">
        <v>1179</v>
      </c>
      <c r="J445" s="146" t="str">
        <f>VLOOKUP(K445,[1]Scheme!B:C,2,0)</f>
        <v>P05</v>
      </c>
      <c r="K445" s="147" t="s">
        <v>1073</v>
      </c>
      <c r="L445" s="148"/>
    </row>
    <row r="446" spans="1:14" s="149" customFormat="1" ht="12">
      <c r="A446" s="143" t="s">
        <v>727</v>
      </c>
      <c r="B446" s="144">
        <v>94</v>
      </c>
      <c r="C446" s="143" t="s">
        <v>672</v>
      </c>
      <c r="D446" s="143"/>
      <c r="E446" s="145"/>
      <c r="F446" s="146" t="str">
        <f t="shared" si="6"/>
        <v>P.949</v>
      </c>
      <c r="G446" s="147" t="s">
        <v>1180</v>
      </c>
      <c r="H446" s="146" t="str">
        <f>VLOOKUP(I446,[1]Scheme!D:F,3,0)</f>
        <v>P05.07</v>
      </c>
      <c r="I446" s="147" t="s">
        <v>1077</v>
      </c>
      <c r="J446" s="146" t="str">
        <f>VLOOKUP(K446,[1]Scheme!B:C,2,0)</f>
        <v>P05</v>
      </c>
      <c r="K446" s="147" t="s">
        <v>1073</v>
      </c>
      <c r="L446" s="148"/>
    </row>
    <row r="447" spans="1:14">
      <c r="A447" s="143" t="s">
        <v>727</v>
      </c>
      <c r="B447" s="144">
        <v>94</v>
      </c>
      <c r="C447" s="143" t="s">
        <v>672</v>
      </c>
      <c r="D447" s="143" t="s">
        <v>692</v>
      </c>
      <c r="E447" s="145"/>
      <c r="F447" s="146" t="str">
        <f t="shared" si="6"/>
        <v>P.949.01</v>
      </c>
      <c r="G447" s="147" t="s">
        <v>1181</v>
      </c>
      <c r="H447" s="146" t="str">
        <f>VLOOKUP(I447,[1]Scheme!D:F,3,0)</f>
        <v>P05.03</v>
      </c>
      <c r="I447" s="147" t="s">
        <v>1182</v>
      </c>
      <c r="J447" s="146" t="str">
        <f>VLOOKUP(K447,[1]Scheme!B:C,2,0)</f>
        <v>P05</v>
      </c>
      <c r="K447" s="147" t="s">
        <v>1073</v>
      </c>
      <c r="N447" s="141"/>
    </row>
    <row r="448" spans="1:14">
      <c r="A448" s="143" t="s">
        <v>727</v>
      </c>
      <c r="B448" s="144">
        <v>94</v>
      </c>
      <c r="C448" s="143" t="s">
        <v>672</v>
      </c>
      <c r="D448" s="143" t="s">
        <v>698</v>
      </c>
      <c r="E448" s="145"/>
      <c r="F448" s="146" t="str">
        <f t="shared" si="6"/>
        <v>P.949.02</v>
      </c>
      <c r="G448" s="147" t="s">
        <v>1183</v>
      </c>
      <c r="H448" s="146" t="str">
        <f>VLOOKUP(I448,[1]Scheme!D:F,3,0)</f>
        <v>P05.04</v>
      </c>
      <c r="I448" s="147" t="s">
        <v>1183</v>
      </c>
      <c r="J448" s="146" t="str">
        <f>VLOOKUP(K448,[1]Scheme!B:C,2,0)</f>
        <v>P05</v>
      </c>
      <c r="K448" s="147" t="s">
        <v>1073</v>
      </c>
      <c r="N448" s="141"/>
    </row>
    <row r="449" spans="1:14">
      <c r="A449" s="143" t="s">
        <v>727</v>
      </c>
      <c r="B449" s="144">
        <v>94</v>
      </c>
      <c r="C449" s="143" t="s">
        <v>672</v>
      </c>
      <c r="D449" s="143" t="s">
        <v>1184</v>
      </c>
      <c r="E449" s="145"/>
      <c r="F449" s="146" t="str">
        <f>CONCATENATE(A449,".",B449&amp;C449,IF(D449="","",CONCATENATE(".",D449)))</f>
        <v>P.949.03_RP</v>
      </c>
      <c r="G449" s="147" t="s">
        <v>1143</v>
      </c>
      <c r="H449" s="146" t="str">
        <f>VLOOKUP(I449,[1]Scheme!D:F,3,0)</f>
        <v>P05.07</v>
      </c>
      <c r="I449" s="147" t="s">
        <v>1077</v>
      </c>
      <c r="J449" s="146" t="str">
        <f>VLOOKUP(K449,[1]Scheme!B:C,2,0)</f>
        <v>P05</v>
      </c>
      <c r="K449" s="147" t="s">
        <v>1073</v>
      </c>
      <c r="N449" s="141"/>
    </row>
    <row r="450" spans="1:14">
      <c r="A450" s="151" t="s">
        <v>727</v>
      </c>
      <c r="B450" s="152">
        <v>95</v>
      </c>
      <c r="C450" s="151"/>
      <c r="D450" s="151"/>
      <c r="F450" s="153" t="str">
        <f t="shared" si="6"/>
        <v>P.95</v>
      </c>
      <c r="G450" s="141" t="s">
        <v>1185</v>
      </c>
      <c r="H450" s="146" t="str">
        <f>VLOOKUP(I450,[1]Scheme!D:F,3,0)</f>
        <v>P11.01</v>
      </c>
      <c r="I450" s="141" t="s">
        <v>1185</v>
      </c>
      <c r="J450" s="146" t="str">
        <f>VLOOKUP(K450,[1]Scheme!B:C,2,0)</f>
        <v>P11</v>
      </c>
      <c r="K450" s="141" t="s">
        <v>1186</v>
      </c>
      <c r="N450" s="141"/>
    </row>
    <row r="451" spans="1:14">
      <c r="A451" s="151" t="s">
        <v>727</v>
      </c>
      <c r="B451" s="152">
        <v>95</v>
      </c>
      <c r="C451" s="151" t="s">
        <v>653</v>
      </c>
      <c r="D451" s="151"/>
      <c r="F451" s="153" t="str">
        <f t="shared" si="6"/>
        <v>P.951</v>
      </c>
      <c r="G451" s="141" t="s">
        <v>1187</v>
      </c>
      <c r="H451" s="146" t="str">
        <f>VLOOKUP(I451,[1]Scheme!D:F,3,0)</f>
        <v>P11.02</v>
      </c>
      <c r="I451" s="141" t="s">
        <v>1188</v>
      </c>
      <c r="J451" s="146" t="str">
        <f>VLOOKUP(K451,[1]Scheme!B:C,2,0)</f>
        <v>P11</v>
      </c>
      <c r="K451" s="141" t="s">
        <v>1186</v>
      </c>
      <c r="N451" s="141"/>
    </row>
    <row r="452" spans="1:14">
      <c r="A452" s="151" t="s">
        <v>727</v>
      </c>
      <c r="B452" s="152">
        <v>95</v>
      </c>
      <c r="C452" s="151" t="s">
        <v>653</v>
      </c>
      <c r="D452" s="151" t="s">
        <v>692</v>
      </c>
      <c r="F452" s="153" t="str">
        <f t="shared" si="6"/>
        <v>P.951.01</v>
      </c>
      <c r="G452" s="141" t="s">
        <v>1189</v>
      </c>
      <c r="H452" s="146" t="str">
        <f>VLOOKUP(I452,[1]Scheme!D:F,3,0)</f>
        <v>P11.02</v>
      </c>
      <c r="I452" s="141" t="s">
        <v>1188</v>
      </c>
      <c r="J452" s="146" t="str">
        <f>VLOOKUP(K452,[1]Scheme!B:C,2,0)</f>
        <v>P11</v>
      </c>
      <c r="K452" s="141" t="s">
        <v>1186</v>
      </c>
      <c r="N452" s="141"/>
    </row>
    <row r="453" spans="1:14">
      <c r="A453" s="151" t="s">
        <v>727</v>
      </c>
      <c r="B453" s="152">
        <v>95</v>
      </c>
      <c r="C453" s="151" t="s">
        <v>653</v>
      </c>
      <c r="D453" s="151" t="s">
        <v>698</v>
      </c>
      <c r="F453" s="153" t="str">
        <f t="shared" si="6"/>
        <v>P.951.02</v>
      </c>
      <c r="G453" s="141" t="s">
        <v>1190</v>
      </c>
      <c r="H453" s="146" t="str">
        <f>VLOOKUP(I453,[1]Scheme!D:F,3,0)</f>
        <v>P11.02</v>
      </c>
      <c r="I453" s="141" t="s">
        <v>1188</v>
      </c>
      <c r="J453" s="146" t="str">
        <f>VLOOKUP(K453,[1]Scheme!B:C,2,0)</f>
        <v>P11</v>
      </c>
      <c r="K453" s="141" t="s">
        <v>1186</v>
      </c>
      <c r="N453" s="141"/>
    </row>
    <row r="454" spans="1:14">
      <c r="A454" s="151" t="s">
        <v>727</v>
      </c>
      <c r="B454" s="152">
        <v>95</v>
      </c>
      <c r="C454" s="151" t="s">
        <v>653</v>
      </c>
      <c r="D454" s="151" t="s">
        <v>700</v>
      </c>
      <c r="F454" s="153" t="str">
        <f t="shared" si="6"/>
        <v>P.951.03</v>
      </c>
      <c r="G454" s="141" t="s">
        <v>1191</v>
      </c>
      <c r="H454" s="146" t="str">
        <f>VLOOKUP(I454,[1]Scheme!D:F,3,0)</f>
        <v>P11.02</v>
      </c>
      <c r="I454" s="141" t="s">
        <v>1188</v>
      </c>
      <c r="J454" s="146" t="str">
        <f>VLOOKUP(K454,[1]Scheme!B:C,2,0)</f>
        <v>P11</v>
      </c>
      <c r="K454" s="141" t="s">
        <v>1186</v>
      </c>
      <c r="N454" s="141"/>
    </row>
    <row r="455" spans="1:14">
      <c r="A455" s="151" t="s">
        <v>727</v>
      </c>
      <c r="B455" s="152">
        <v>95</v>
      </c>
      <c r="C455" s="151" t="s">
        <v>658</v>
      </c>
      <c r="D455" s="151"/>
      <c r="F455" s="153" t="str">
        <f t="shared" si="6"/>
        <v>P.952</v>
      </c>
      <c r="G455" s="141" t="s">
        <v>1192</v>
      </c>
      <c r="H455" s="146" t="str">
        <f>VLOOKUP(I455,[1]Scheme!D:F,3,0)</f>
        <v>P11.03</v>
      </c>
      <c r="I455" s="141" t="s">
        <v>1193</v>
      </c>
      <c r="J455" s="146" t="str">
        <f>VLOOKUP(K455,[1]Scheme!B:C,2,0)</f>
        <v>P11</v>
      </c>
      <c r="K455" s="141" t="s">
        <v>1186</v>
      </c>
      <c r="N455" s="141"/>
    </row>
    <row r="456" spans="1:14">
      <c r="A456" s="151" t="s">
        <v>727</v>
      </c>
      <c r="B456" s="152">
        <v>95</v>
      </c>
      <c r="C456" s="151" t="s">
        <v>658</v>
      </c>
      <c r="D456" s="151" t="s">
        <v>692</v>
      </c>
      <c r="F456" s="153" t="str">
        <f t="shared" si="6"/>
        <v>P.952.01</v>
      </c>
      <c r="G456" s="141" t="s">
        <v>1194</v>
      </c>
      <c r="H456" s="146" t="str">
        <f>VLOOKUP(I456,[1]Scheme!D:F,3,0)</f>
        <v>P11.03</v>
      </c>
      <c r="I456" s="141" t="s">
        <v>1193</v>
      </c>
      <c r="J456" s="146" t="str">
        <f>VLOOKUP(K456,[1]Scheme!B:C,2,0)</f>
        <v>P11</v>
      </c>
      <c r="K456" s="141" t="s">
        <v>1186</v>
      </c>
      <c r="N456" s="141"/>
    </row>
    <row r="457" spans="1:14">
      <c r="A457" s="151" t="s">
        <v>727</v>
      </c>
      <c r="B457" s="152">
        <v>95</v>
      </c>
      <c r="C457" s="151" t="s">
        <v>658</v>
      </c>
      <c r="D457" s="151" t="s">
        <v>698</v>
      </c>
      <c r="F457" s="153" t="str">
        <f t="shared" si="6"/>
        <v>P.952.02</v>
      </c>
      <c r="G457" s="141" t="s">
        <v>1195</v>
      </c>
      <c r="H457" s="146" t="str">
        <f>VLOOKUP(I457,[1]Scheme!D:F,3,0)</f>
        <v>P11.03</v>
      </c>
      <c r="I457" s="141" t="s">
        <v>1193</v>
      </c>
      <c r="J457" s="146" t="str">
        <f>VLOOKUP(K457,[1]Scheme!B:C,2,0)</f>
        <v>P11</v>
      </c>
      <c r="K457" s="141" t="s">
        <v>1186</v>
      </c>
      <c r="N457" s="141"/>
    </row>
    <row r="458" spans="1:14" s="149" customFormat="1" ht="12.75">
      <c r="A458" s="151" t="s">
        <v>727</v>
      </c>
      <c r="B458" s="152">
        <v>95</v>
      </c>
      <c r="C458" s="151" t="s">
        <v>658</v>
      </c>
      <c r="D458" s="151" t="s">
        <v>700</v>
      </c>
      <c r="E458" s="140"/>
      <c r="F458" s="153" t="str">
        <f t="shared" si="6"/>
        <v>P.952.03</v>
      </c>
      <c r="G458" s="141" t="s">
        <v>1196</v>
      </c>
      <c r="H458" s="146" t="str">
        <f>VLOOKUP(I458,[1]Scheme!D:F,3,0)</f>
        <v>P11.03</v>
      </c>
      <c r="I458" s="141" t="s">
        <v>1193</v>
      </c>
      <c r="J458" s="146" t="str">
        <f>VLOOKUP(K458,[1]Scheme!B:C,2,0)</f>
        <v>P11</v>
      </c>
      <c r="K458" s="141" t="s">
        <v>1186</v>
      </c>
      <c r="L458" s="148" t="s">
        <v>353</v>
      </c>
    </row>
    <row r="459" spans="1:14" s="149" customFormat="1" ht="12.75">
      <c r="A459" s="151" t="s">
        <v>727</v>
      </c>
      <c r="B459" s="152">
        <v>95</v>
      </c>
      <c r="C459" s="151" t="s">
        <v>658</v>
      </c>
      <c r="D459" s="151" t="s">
        <v>1058</v>
      </c>
      <c r="E459" s="140"/>
      <c r="F459" s="153" t="str">
        <f t="shared" si="6"/>
        <v>P.952.20</v>
      </c>
      <c r="G459" s="141" t="s">
        <v>1197</v>
      </c>
      <c r="H459" s="146" t="str">
        <f>VLOOKUP(I459,[1]Scheme!D:F,3,0)</f>
        <v>P11.03</v>
      </c>
      <c r="I459" s="141" t="s">
        <v>1193</v>
      </c>
      <c r="J459" s="146" t="str">
        <f>VLOOKUP(K459,[1]Scheme!B:C,2,0)</f>
        <v>P11</v>
      </c>
      <c r="K459" s="141" t="s">
        <v>1186</v>
      </c>
      <c r="L459" s="148" t="s">
        <v>353</v>
      </c>
    </row>
    <row r="460" spans="1:14" s="149" customFormat="1" ht="12">
      <c r="A460" s="143" t="s">
        <v>727</v>
      </c>
      <c r="B460" s="144">
        <v>96</v>
      </c>
      <c r="C460" s="143"/>
      <c r="D460" s="143"/>
      <c r="E460" s="145"/>
      <c r="F460" s="146" t="str">
        <f t="shared" si="6"/>
        <v>P.96</v>
      </c>
      <c r="G460" s="147" t="s">
        <v>1198</v>
      </c>
      <c r="H460" s="146" t="str">
        <f>VLOOKUP(I460,[1]Scheme!D:F,3,0)</f>
        <v>P09.02</v>
      </c>
      <c r="I460" s="147" t="s">
        <v>1086</v>
      </c>
      <c r="J460" s="146" t="str">
        <f>VLOOKUP(K460,[1]Scheme!B:C,2,0)</f>
        <v>P09</v>
      </c>
      <c r="K460" s="147" t="s">
        <v>1087</v>
      </c>
      <c r="L460" s="148" t="s">
        <v>353</v>
      </c>
    </row>
    <row r="461" spans="1:14" s="149" customFormat="1" ht="12">
      <c r="A461" s="143" t="s">
        <v>727</v>
      </c>
      <c r="B461" s="144">
        <v>96</v>
      </c>
      <c r="C461" s="143" t="s">
        <v>653</v>
      </c>
      <c r="D461" s="143"/>
      <c r="E461" s="145"/>
      <c r="F461" s="146" t="str">
        <f t="shared" si="6"/>
        <v>P.961</v>
      </c>
      <c r="G461" s="147" t="s">
        <v>1199</v>
      </c>
      <c r="H461" s="146" t="str">
        <f>VLOOKUP(I461,[1]Scheme!D:F,3,0)</f>
        <v>P09.02</v>
      </c>
      <c r="I461" s="147" t="s">
        <v>1086</v>
      </c>
      <c r="J461" s="146" t="str">
        <f>VLOOKUP(K461,[1]Scheme!B:C,2,0)</f>
        <v>P09</v>
      </c>
      <c r="K461" s="147" t="s">
        <v>1087</v>
      </c>
      <c r="L461" s="148" t="s">
        <v>353</v>
      </c>
    </row>
    <row r="462" spans="1:14">
      <c r="A462" s="143" t="s">
        <v>727</v>
      </c>
      <c r="B462" s="144">
        <v>96</v>
      </c>
      <c r="C462" s="143" t="s">
        <v>658</v>
      </c>
      <c r="D462" s="143"/>
      <c r="E462" s="145"/>
      <c r="F462" s="146" t="str">
        <f t="shared" si="6"/>
        <v>P.962</v>
      </c>
      <c r="G462" s="147" t="s">
        <v>1200</v>
      </c>
      <c r="H462" s="146" t="str">
        <f>VLOOKUP(I462,[1]Scheme!D:F,3,0)</f>
        <v>P09.02</v>
      </c>
      <c r="I462" s="147" t="s">
        <v>1086</v>
      </c>
      <c r="J462" s="146" t="str">
        <f>VLOOKUP(K462,[1]Scheme!B:C,2,0)</f>
        <v>P09</v>
      </c>
      <c r="K462" s="147" t="s">
        <v>1087</v>
      </c>
      <c r="N462" s="141"/>
    </row>
    <row r="463" spans="1:14">
      <c r="A463" s="143" t="s">
        <v>727</v>
      </c>
      <c r="B463" s="144">
        <v>96</v>
      </c>
      <c r="C463" s="143" t="s">
        <v>660</v>
      </c>
      <c r="D463" s="143"/>
      <c r="E463" s="145"/>
      <c r="F463" s="146" t="str">
        <f t="shared" si="6"/>
        <v>P.963</v>
      </c>
      <c r="G463" s="147" t="s">
        <v>1201</v>
      </c>
      <c r="H463" s="146" t="str">
        <f>VLOOKUP(I463,[1]Scheme!D:F,3,0)</f>
        <v>P09.02</v>
      </c>
      <c r="I463" s="147" t="s">
        <v>1086</v>
      </c>
      <c r="J463" s="146" t="str">
        <f>VLOOKUP(K463,[1]Scheme!B:C,2,0)</f>
        <v>P09</v>
      </c>
      <c r="K463" s="147" t="s">
        <v>1087</v>
      </c>
      <c r="N463" s="141"/>
    </row>
    <row r="464" spans="1:14" s="149" customFormat="1" ht="12.75">
      <c r="A464" s="151" t="s">
        <v>727</v>
      </c>
      <c r="B464" s="152">
        <v>97</v>
      </c>
      <c r="C464" s="151"/>
      <c r="D464" s="151"/>
      <c r="E464" s="140"/>
      <c r="F464" s="153" t="str">
        <f t="shared" si="6"/>
        <v>P.97</v>
      </c>
      <c r="G464" s="141" t="s">
        <v>1134</v>
      </c>
      <c r="H464" s="146" t="e">
        <f>VLOOKUP(I464,[1]Scheme!D:F,3,0)</f>
        <v>#N/A</v>
      </c>
      <c r="I464" s="141" t="s">
        <v>1134</v>
      </c>
      <c r="J464" s="146" t="str">
        <f>VLOOKUP(K464,[1]Scheme!B:C,2,0)</f>
        <v>P05</v>
      </c>
      <c r="K464" s="141" t="s">
        <v>1073</v>
      </c>
      <c r="L464" s="148" t="s">
        <v>353</v>
      </c>
    </row>
    <row r="465" spans="1:14" s="149" customFormat="1" ht="12.75">
      <c r="A465" s="151" t="s">
        <v>727</v>
      </c>
      <c r="B465" s="152">
        <v>97</v>
      </c>
      <c r="C465" s="151" t="s">
        <v>653</v>
      </c>
      <c r="D465" s="151"/>
      <c r="E465" s="140"/>
      <c r="F465" s="153" t="str">
        <f t="shared" si="6"/>
        <v>P.971</v>
      </c>
      <c r="G465" s="141" t="s">
        <v>1202</v>
      </c>
      <c r="H465" s="146" t="e">
        <f>VLOOKUP(I465,[1]Scheme!D:F,3,0)</f>
        <v>#N/A</v>
      </c>
      <c r="I465" s="141" t="s">
        <v>1098</v>
      </c>
      <c r="J465" s="146" t="e">
        <f>VLOOKUP(K465,[1]Scheme!B:C,2,0)</f>
        <v>#N/A</v>
      </c>
      <c r="K465" s="141" t="s">
        <v>1099</v>
      </c>
      <c r="L465" s="148" t="s">
        <v>353</v>
      </c>
    </row>
    <row r="466" spans="1:14" s="149" customFormat="1" ht="12">
      <c r="A466" s="143" t="s">
        <v>727</v>
      </c>
      <c r="B466" s="144">
        <v>97</v>
      </c>
      <c r="C466" s="143" t="s">
        <v>658</v>
      </c>
      <c r="D466" s="143"/>
      <c r="E466" s="145"/>
      <c r="F466" s="146" t="str">
        <f t="shared" si="6"/>
        <v>P.972</v>
      </c>
      <c r="G466" s="147" t="s">
        <v>1203</v>
      </c>
      <c r="H466" s="146" t="str">
        <f>VLOOKUP(I466,[1]Scheme!D:F,3,0)</f>
        <v>P05.12</v>
      </c>
      <c r="I466" s="147" t="s">
        <v>1101</v>
      </c>
      <c r="J466" s="146" t="str">
        <f>VLOOKUP(K466,[1]Scheme!B:C,2,0)</f>
        <v>P05</v>
      </c>
      <c r="K466" s="147" t="s">
        <v>1073</v>
      </c>
      <c r="L466" s="148"/>
    </row>
    <row r="467" spans="1:14" s="149" customFormat="1" ht="12">
      <c r="A467" s="143" t="s">
        <v>727</v>
      </c>
      <c r="B467" s="144">
        <v>97</v>
      </c>
      <c r="C467" s="143" t="s">
        <v>660</v>
      </c>
      <c r="D467" s="143"/>
      <c r="E467" s="145"/>
      <c r="F467" s="146" t="str">
        <f t="shared" si="6"/>
        <v>P.973</v>
      </c>
      <c r="G467" s="147" t="s">
        <v>1204</v>
      </c>
      <c r="H467" s="146" t="str">
        <f>VLOOKUP(I467,[1]Scheme!D:F,3,0)</f>
        <v>P05.13</v>
      </c>
      <c r="I467" s="147" t="s">
        <v>1103</v>
      </c>
      <c r="J467" s="146" t="str">
        <f>VLOOKUP(K467,[1]Scheme!B:C,2,0)</f>
        <v>P05</v>
      </c>
      <c r="K467" s="147" t="s">
        <v>1073</v>
      </c>
      <c r="L467" s="148" t="s">
        <v>353</v>
      </c>
    </row>
    <row r="468" spans="1:14" s="149" customFormat="1" ht="12">
      <c r="A468" s="143" t="s">
        <v>727</v>
      </c>
      <c r="B468" s="144">
        <v>97</v>
      </c>
      <c r="C468" s="143" t="s">
        <v>662</v>
      </c>
      <c r="D468" s="143"/>
      <c r="E468" s="145"/>
      <c r="F468" s="146" t="str">
        <f t="shared" si="6"/>
        <v>P.974</v>
      </c>
      <c r="G468" s="147" t="s">
        <v>1205</v>
      </c>
      <c r="H468" s="146" t="str">
        <f>VLOOKUP(I468,[1]Scheme!D:F,3,0)</f>
        <v>P11.03</v>
      </c>
      <c r="I468" s="147" t="s">
        <v>1193</v>
      </c>
      <c r="J468" s="146" t="str">
        <f>VLOOKUP(K468,[1]Scheme!B:C,2,0)</f>
        <v>P11</v>
      </c>
      <c r="K468" s="147" t="s">
        <v>1186</v>
      </c>
      <c r="L468" s="148"/>
    </row>
    <row r="469" spans="1:14" s="149" customFormat="1" ht="12">
      <c r="A469" s="143" t="s">
        <v>727</v>
      </c>
      <c r="B469" s="144">
        <v>97</v>
      </c>
      <c r="C469" s="143" t="s">
        <v>668</v>
      </c>
      <c r="D469" s="143"/>
      <c r="E469" s="145"/>
      <c r="F469" s="146" t="str">
        <f t="shared" si="6"/>
        <v>P.975</v>
      </c>
      <c r="G469" s="147" t="s">
        <v>1206</v>
      </c>
      <c r="H469" s="146" t="str">
        <f>VLOOKUP(I469,[1]Scheme!D:F,3,0)</f>
        <v>P09.01</v>
      </c>
      <c r="I469" s="147" t="s">
        <v>1087</v>
      </c>
      <c r="J469" s="146" t="str">
        <f>VLOOKUP(K469,[1]Scheme!B:C,2,0)</f>
        <v>P05</v>
      </c>
      <c r="K469" s="147" t="s">
        <v>1073</v>
      </c>
      <c r="L469" s="148"/>
    </row>
    <row r="470" spans="1:14" s="149" customFormat="1" ht="12">
      <c r="A470" s="143" t="s">
        <v>727</v>
      </c>
      <c r="B470" s="144">
        <v>97</v>
      </c>
      <c r="C470" s="143" t="s">
        <v>670</v>
      </c>
      <c r="D470" s="143"/>
      <c r="E470" s="145"/>
      <c r="F470" s="146" t="str">
        <f t="shared" ref="F470:F488" si="7">CONCATENATE(A470,".",B470&amp;C470,IF(D470="","",CONCATENATE(".",D470)))</f>
        <v>P.976</v>
      </c>
      <c r="G470" s="147" t="s">
        <v>1207</v>
      </c>
      <c r="H470" s="146" t="str">
        <f>VLOOKUP(I470,[1]Scheme!D:F,3,0)</f>
        <v>P05.15</v>
      </c>
      <c r="I470" s="147" t="s">
        <v>1207</v>
      </c>
      <c r="J470" s="146" t="str">
        <f>VLOOKUP(K470,[1]Scheme!B:C,2,0)</f>
        <v>P05</v>
      </c>
      <c r="K470" s="147" t="s">
        <v>1073</v>
      </c>
      <c r="L470" s="148"/>
    </row>
    <row r="471" spans="1:14">
      <c r="A471" s="143" t="s">
        <v>727</v>
      </c>
      <c r="B471" s="144">
        <v>97</v>
      </c>
      <c r="C471" s="143" t="s">
        <v>681</v>
      </c>
      <c r="D471" s="143"/>
      <c r="E471" s="145"/>
      <c r="F471" s="146" t="str">
        <f t="shared" si="7"/>
        <v>P.977</v>
      </c>
      <c r="G471" s="147" t="s">
        <v>1106</v>
      </c>
      <c r="H471" s="146" t="str">
        <f>VLOOKUP(I471,[1]Scheme!D:F,3,0)</f>
        <v>P05.07</v>
      </c>
      <c r="I471" s="147" t="s">
        <v>1077</v>
      </c>
      <c r="J471" s="146" t="str">
        <f>VLOOKUP(K471,[1]Scheme!B:C,2,0)</f>
        <v>P05</v>
      </c>
      <c r="K471" s="147" t="s">
        <v>1073</v>
      </c>
      <c r="N471" s="141"/>
    </row>
    <row r="472" spans="1:14" s="149" customFormat="1" ht="12">
      <c r="A472" s="143" t="s">
        <v>727</v>
      </c>
      <c r="B472" s="144">
        <v>97</v>
      </c>
      <c r="C472" s="143" t="s">
        <v>763</v>
      </c>
      <c r="D472" s="143"/>
      <c r="E472" s="145"/>
      <c r="F472" s="146" t="str">
        <f t="shared" si="7"/>
        <v>P.978</v>
      </c>
      <c r="G472" s="147" t="s">
        <v>1208</v>
      </c>
      <c r="H472" s="146" t="str">
        <f>VLOOKUP(I472,[1]Scheme!D:F,3,0)</f>
        <v>P05.16</v>
      </c>
      <c r="I472" s="147" t="s">
        <v>1208</v>
      </c>
      <c r="J472" s="146" t="str">
        <f>VLOOKUP(K472,[1]Scheme!B:C,2,0)</f>
        <v>P05</v>
      </c>
      <c r="K472" s="147" t="s">
        <v>1073</v>
      </c>
      <c r="L472" s="148"/>
    </row>
    <row r="473" spans="1:14" s="149" customFormat="1" ht="12.75">
      <c r="A473" s="151" t="s">
        <v>727</v>
      </c>
      <c r="B473" s="152">
        <v>97</v>
      </c>
      <c r="C473" s="151" t="s">
        <v>672</v>
      </c>
      <c r="D473" s="151"/>
      <c r="E473" s="140"/>
      <c r="F473" s="153" t="str">
        <f t="shared" si="7"/>
        <v>P.979</v>
      </c>
      <c r="G473" s="141" t="s">
        <v>1209</v>
      </c>
      <c r="H473" s="146" t="str">
        <f>VLOOKUP(I473,[1]Scheme!D:F,3,0)</f>
        <v>P08.01</v>
      </c>
      <c r="I473" s="141" t="s">
        <v>1209</v>
      </c>
      <c r="J473" s="146" t="str">
        <f>VLOOKUP(K473,[1]Scheme!B:C,2,0)</f>
        <v>P08</v>
      </c>
      <c r="K473" s="141" t="s">
        <v>1210</v>
      </c>
      <c r="L473" s="148"/>
    </row>
    <row r="474" spans="1:14" s="149" customFormat="1" ht="12">
      <c r="A474" s="143" t="s">
        <v>727</v>
      </c>
      <c r="B474" s="144">
        <v>98</v>
      </c>
      <c r="C474" s="143"/>
      <c r="D474" s="143"/>
      <c r="E474" s="145"/>
      <c r="F474" s="146" t="str">
        <f t="shared" si="7"/>
        <v>P.98</v>
      </c>
      <c r="G474" s="147" t="s">
        <v>1211</v>
      </c>
      <c r="H474" s="146" t="str">
        <f>VLOOKUP(I474,[1]Scheme!D:F,3,0)</f>
        <v>P13.01</v>
      </c>
      <c r="I474" s="147" t="s">
        <v>1212</v>
      </c>
      <c r="J474" s="146" t="str">
        <f>VLOOKUP(K474,[1]Scheme!B:C,2,0)</f>
        <v>P13</v>
      </c>
      <c r="K474" s="147" t="s">
        <v>1211</v>
      </c>
      <c r="L474" s="148"/>
    </row>
    <row r="475" spans="1:14" s="149" customFormat="1" ht="12">
      <c r="A475" s="143" t="s">
        <v>727</v>
      </c>
      <c r="B475" s="144">
        <v>98</v>
      </c>
      <c r="C475" s="143" t="s">
        <v>653</v>
      </c>
      <c r="D475" s="143"/>
      <c r="E475" s="145"/>
      <c r="F475" s="146" t="str">
        <f t="shared" si="7"/>
        <v>P.981</v>
      </c>
      <c r="G475" s="147" t="s">
        <v>1213</v>
      </c>
      <c r="H475" s="146" t="str">
        <f>VLOOKUP(I475,[1]Scheme!D:F,3,0)</f>
        <v>P13.01</v>
      </c>
      <c r="I475" s="147" t="s">
        <v>1212</v>
      </c>
      <c r="J475" s="146" t="str">
        <f>VLOOKUP(K475,[1]Scheme!B:C,2,0)</f>
        <v>P13</v>
      </c>
      <c r="K475" s="147" t="s">
        <v>1211</v>
      </c>
      <c r="L475" s="148"/>
    </row>
    <row r="476" spans="1:14" s="149" customFormat="1" ht="12">
      <c r="A476" s="143" t="s">
        <v>727</v>
      </c>
      <c r="B476" s="144">
        <v>98</v>
      </c>
      <c r="C476" s="143" t="s">
        <v>658</v>
      </c>
      <c r="D476" s="143"/>
      <c r="E476" s="145"/>
      <c r="F476" s="146" t="str">
        <f t="shared" si="7"/>
        <v>P.982</v>
      </c>
      <c r="G476" s="147" t="s">
        <v>1214</v>
      </c>
      <c r="H476" s="146" t="str">
        <f>VLOOKUP(I476,[1]Scheme!D:F,3,0)</f>
        <v>P13.02</v>
      </c>
      <c r="I476" s="147" t="s">
        <v>1215</v>
      </c>
      <c r="J476" s="146" t="str">
        <f>VLOOKUP(K476,[1]Scheme!B:C,2,0)</f>
        <v>P13</v>
      </c>
      <c r="K476" s="147" t="s">
        <v>1211</v>
      </c>
      <c r="L476" s="148"/>
    </row>
    <row r="477" spans="1:14" s="149" customFormat="1" ht="12">
      <c r="A477" s="143" t="s">
        <v>727</v>
      </c>
      <c r="B477" s="144">
        <v>98</v>
      </c>
      <c r="C477" s="143" t="s">
        <v>660</v>
      </c>
      <c r="D477" s="143"/>
      <c r="E477" s="145"/>
      <c r="F477" s="146" t="str">
        <f t="shared" si="7"/>
        <v>P.983</v>
      </c>
      <c r="G477" s="147" t="s">
        <v>1216</v>
      </c>
      <c r="H477" s="146" t="str">
        <f>VLOOKUP(I477,[1]Scheme!D:F,3,0)</f>
        <v>P13.02</v>
      </c>
      <c r="I477" s="147" t="s">
        <v>1215</v>
      </c>
      <c r="J477" s="146" t="str">
        <f>VLOOKUP(K477,[1]Scheme!B:C,2,0)</f>
        <v>P13</v>
      </c>
      <c r="K477" s="147" t="s">
        <v>1211</v>
      </c>
      <c r="L477" s="148" t="s">
        <v>353</v>
      </c>
    </row>
    <row r="478" spans="1:14" s="149" customFormat="1" ht="12">
      <c r="A478" s="143" t="s">
        <v>727</v>
      </c>
      <c r="B478" s="144">
        <v>98</v>
      </c>
      <c r="C478" s="143" t="s">
        <v>662</v>
      </c>
      <c r="D478" s="143"/>
      <c r="E478" s="145"/>
      <c r="F478" s="146" t="str">
        <f t="shared" si="7"/>
        <v>P.984</v>
      </c>
      <c r="G478" s="147" t="s">
        <v>1217</v>
      </c>
      <c r="H478" s="146" t="str">
        <f>VLOOKUP(I478,[1]Scheme!D:F,3,0)</f>
        <v>P13.03</v>
      </c>
      <c r="I478" s="147" t="s">
        <v>1218</v>
      </c>
      <c r="J478" s="146" t="str">
        <f>VLOOKUP(K478,[1]Scheme!B:C,2,0)</f>
        <v>P13</v>
      </c>
      <c r="K478" s="147" t="s">
        <v>1211</v>
      </c>
      <c r="L478" s="148" t="s">
        <v>353</v>
      </c>
    </row>
    <row r="479" spans="1:14" s="149" customFormat="1" ht="12">
      <c r="A479" s="143" t="s">
        <v>727</v>
      </c>
      <c r="B479" s="144">
        <v>99</v>
      </c>
      <c r="C479" s="143"/>
      <c r="D479" s="143"/>
      <c r="E479" s="145"/>
      <c r="F479" s="146" t="str">
        <f t="shared" si="7"/>
        <v>P.99</v>
      </c>
      <c r="G479" s="147" t="s">
        <v>1134</v>
      </c>
      <c r="H479" s="146" t="str">
        <f>VLOOKUP(I479,[1]Scheme!D:F,3,0)</f>
        <v>P05.07</v>
      </c>
      <c r="I479" s="147" t="s">
        <v>1077</v>
      </c>
      <c r="J479" s="146" t="str">
        <f>VLOOKUP(K479,[1]Scheme!B:C,2,0)</f>
        <v>P05</v>
      </c>
      <c r="K479" s="147" t="s">
        <v>1073</v>
      </c>
      <c r="L479" s="148" t="s">
        <v>353</v>
      </c>
    </row>
    <row r="480" spans="1:14" s="149" customFormat="1" ht="12">
      <c r="A480" s="143" t="s">
        <v>727</v>
      </c>
      <c r="B480" s="144">
        <v>99</v>
      </c>
      <c r="C480" s="143" t="s">
        <v>653</v>
      </c>
      <c r="D480" s="143"/>
      <c r="E480" s="145"/>
      <c r="F480" s="146" t="str">
        <f t="shared" si="7"/>
        <v>P.991</v>
      </c>
      <c r="G480" s="147" t="s">
        <v>1219</v>
      </c>
      <c r="H480" s="146" t="str">
        <f>VLOOKUP(I480,[1]Scheme!D:F,3,0)</f>
        <v>P05.07</v>
      </c>
      <c r="I480" s="147" t="s">
        <v>1077</v>
      </c>
      <c r="J480" s="146" t="str">
        <f>VLOOKUP(K480,[1]Scheme!B:C,2,0)</f>
        <v>P05</v>
      </c>
      <c r="K480" s="147" t="s">
        <v>1073</v>
      </c>
      <c r="L480" s="148" t="s">
        <v>353</v>
      </c>
    </row>
    <row r="481" spans="1:14" s="149" customFormat="1" ht="12">
      <c r="A481" s="143" t="s">
        <v>727</v>
      </c>
      <c r="B481" s="144">
        <v>99</v>
      </c>
      <c r="C481" s="143" t="s">
        <v>658</v>
      </c>
      <c r="D481" s="143"/>
      <c r="E481" s="145"/>
      <c r="F481" s="146" t="str">
        <f t="shared" si="7"/>
        <v>P.992</v>
      </c>
      <c r="G481" s="147" t="s">
        <v>1220</v>
      </c>
      <c r="H481" s="146" t="str">
        <f>VLOOKUP(I481,[1]Scheme!D:F,3,0)</f>
        <v>P05.07</v>
      </c>
      <c r="I481" s="147" t="s">
        <v>1077</v>
      </c>
      <c r="J481" s="146" t="str">
        <f>VLOOKUP(K481,[1]Scheme!B:C,2,0)</f>
        <v>P05</v>
      </c>
      <c r="K481" s="147" t="s">
        <v>1073</v>
      </c>
      <c r="L481" s="148" t="s">
        <v>353</v>
      </c>
    </row>
    <row r="482" spans="1:14" s="149" customFormat="1" ht="12">
      <c r="A482" s="143" t="s">
        <v>727</v>
      </c>
      <c r="B482" s="144">
        <v>99</v>
      </c>
      <c r="C482" s="143" t="s">
        <v>660</v>
      </c>
      <c r="D482" s="143"/>
      <c r="E482" s="145"/>
      <c r="F482" s="146" t="str">
        <f t="shared" si="7"/>
        <v>P.993</v>
      </c>
      <c r="G482" s="147" t="s">
        <v>1221</v>
      </c>
      <c r="H482" s="146" t="str">
        <f>VLOOKUP(I482,[1]Scheme!D:F,3,0)</f>
        <v>P05.07</v>
      </c>
      <c r="I482" s="147" t="s">
        <v>1077</v>
      </c>
      <c r="J482" s="146" t="str">
        <f>VLOOKUP(K482,[1]Scheme!B:C,2,0)</f>
        <v>P05</v>
      </c>
      <c r="K482" s="147" t="s">
        <v>1073</v>
      </c>
      <c r="L482" s="148"/>
    </row>
    <row r="483" spans="1:14" s="149" customFormat="1" ht="12">
      <c r="A483" s="143" t="s">
        <v>727</v>
      </c>
      <c r="B483" s="144">
        <v>99</v>
      </c>
      <c r="C483" s="143" t="s">
        <v>672</v>
      </c>
      <c r="D483" s="143"/>
      <c r="E483" s="145"/>
      <c r="F483" s="146" t="str">
        <f t="shared" si="7"/>
        <v>P.999</v>
      </c>
      <c r="G483" s="147" t="s">
        <v>1222</v>
      </c>
      <c r="H483" s="146" t="str">
        <f>VLOOKUP(I483,[1]Scheme!D:F,3,0)</f>
        <v>P15.</v>
      </c>
      <c r="I483" s="147" t="s">
        <v>1222</v>
      </c>
      <c r="J483" s="146" t="str">
        <f>VLOOKUP(K483,[1]Scheme!B:C,2,0)</f>
        <v>P15</v>
      </c>
      <c r="K483" s="147" t="s">
        <v>1222</v>
      </c>
      <c r="L483" s="148"/>
    </row>
    <row r="484" spans="1:14" s="149" customFormat="1" ht="12">
      <c r="A484" s="143" t="s">
        <v>650</v>
      </c>
      <c r="B484" s="144" t="s">
        <v>1223</v>
      </c>
      <c r="C484" s="143"/>
      <c r="D484" s="143" t="s">
        <v>650</v>
      </c>
      <c r="E484" s="145"/>
      <c r="F484" s="146" t="str">
        <f t="shared" si="7"/>
        <v>A.IG.A</v>
      </c>
      <c r="G484" s="147" t="s">
        <v>1224</v>
      </c>
      <c r="H484" s="146" t="e">
        <f>VLOOKUP(I484,[1]Scheme!D:F,3,0)</f>
        <v>#N/A</v>
      </c>
      <c r="I484" s="147" t="s">
        <v>1224</v>
      </c>
      <c r="J484" s="146" t="e">
        <f>VLOOKUP(K484,[1]Scheme!B:C,2,0)</f>
        <v>#N/A</v>
      </c>
      <c r="K484" s="147" t="s">
        <v>1225</v>
      </c>
      <c r="L484" s="148"/>
    </row>
    <row r="485" spans="1:14" s="149" customFormat="1" ht="12">
      <c r="A485" s="143" t="s">
        <v>832</v>
      </c>
      <c r="B485" s="144" t="s">
        <v>1223</v>
      </c>
      <c r="C485" s="143"/>
      <c r="D485" s="143" t="s">
        <v>832</v>
      </c>
      <c r="E485" s="145"/>
      <c r="F485" s="146" t="str">
        <f t="shared" si="7"/>
        <v>L.IG.L</v>
      </c>
      <c r="G485" s="147" t="s">
        <v>1226</v>
      </c>
      <c r="H485" s="146" t="e">
        <f>VLOOKUP(I485,[1]Scheme!D:F,3,0)</f>
        <v>#N/A</v>
      </c>
      <c r="I485" s="147" t="s">
        <v>1226</v>
      </c>
      <c r="J485" s="146" t="e">
        <f>VLOOKUP(K485,[1]Scheme!B:C,2,0)</f>
        <v>#N/A</v>
      </c>
      <c r="K485" s="147" t="s">
        <v>1225</v>
      </c>
      <c r="L485" s="148"/>
    </row>
    <row r="486" spans="1:14" ht="12.75">
      <c r="A486" s="143" t="s">
        <v>727</v>
      </c>
      <c r="B486" s="144" t="s">
        <v>1223</v>
      </c>
      <c r="C486" s="143"/>
      <c r="D486" s="143" t="s">
        <v>1227</v>
      </c>
      <c r="E486" s="145"/>
      <c r="F486" s="146" t="str">
        <f t="shared" si="7"/>
        <v>P.IG.In</v>
      </c>
      <c r="G486" s="147" t="s">
        <v>1228</v>
      </c>
      <c r="H486" s="146" t="e">
        <f>VLOOKUP(I486,[1]Scheme!D:F,3,0)</f>
        <v>#N/A</v>
      </c>
      <c r="I486" s="147" t="s">
        <v>1228</v>
      </c>
      <c r="J486" s="146" t="e">
        <f>VLOOKUP(K486,[1]Scheme!B:C,2,0)</f>
        <v>#N/A</v>
      </c>
      <c r="K486" s="147" t="s">
        <v>1229</v>
      </c>
      <c r="L486" s="141"/>
      <c r="N486" s="141"/>
    </row>
    <row r="487" spans="1:14" ht="12.75">
      <c r="A487" s="143" t="s">
        <v>727</v>
      </c>
      <c r="B487" s="144" t="s">
        <v>1223</v>
      </c>
      <c r="C487" s="143"/>
      <c r="D487" s="143" t="s">
        <v>1230</v>
      </c>
      <c r="E487" s="145"/>
      <c r="F487" s="146" t="str">
        <f t="shared" si="7"/>
        <v>P.IG.Ex</v>
      </c>
      <c r="G487" s="147" t="s">
        <v>1231</v>
      </c>
      <c r="H487" s="146" t="e">
        <f>VLOOKUP(I487,[1]Scheme!D:F,3,0)</f>
        <v>#N/A</v>
      </c>
      <c r="I487" s="147" t="s">
        <v>1231</v>
      </c>
      <c r="J487" s="146" t="e">
        <f>VLOOKUP(K487,[1]Scheme!B:C,2,0)</f>
        <v>#N/A</v>
      </c>
      <c r="K487" s="147" t="s">
        <v>1229</v>
      </c>
      <c r="L487" s="141"/>
      <c r="N487" s="141"/>
    </row>
    <row r="488" spans="1:14" ht="12.75">
      <c r="A488" s="151" t="s">
        <v>727</v>
      </c>
      <c r="B488" s="142" t="s">
        <v>1232</v>
      </c>
      <c r="F488" s="155" t="str">
        <f t="shared" si="7"/>
        <v>P.FOR</v>
      </c>
      <c r="G488" s="141" t="s">
        <v>1233</v>
      </c>
      <c r="H488" s="146" t="str">
        <f>VLOOKUP(I488,[1]Scheme!D:F,3,0)</f>
        <v>P06.01</v>
      </c>
      <c r="I488" s="141" t="s">
        <v>1075</v>
      </c>
      <c r="J488" s="146" t="str">
        <f>VLOOKUP(K488,[1]Scheme!B:C,2,0)</f>
        <v>P06</v>
      </c>
      <c r="K488" s="141" t="s">
        <v>1075</v>
      </c>
      <c r="L488" s="141"/>
      <c r="N488" s="141"/>
    </row>
    <row r="489" spans="1:14" ht="12.75">
      <c r="L489" s="141"/>
      <c r="N489" s="141"/>
    </row>
    <row r="490" spans="1:14" ht="12.75">
      <c r="A490" s="154" t="s">
        <v>644</v>
      </c>
      <c r="B490" s="154" t="s">
        <v>644</v>
      </c>
      <c r="C490" s="154" t="s">
        <v>644</v>
      </c>
      <c r="D490" s="154" t="s">
        <v>644</v>
      </c>
      <c r="E490" s="154"/>
      <c r="F490" s="156" t="s">
        <v>644</v>
      </c>
      <c r="G490" s="154" t="s">
        <v>644</v>
      </c>
      <c r="H490" s="154"/>
      <c r="I490" s="154" t="s">
        <v>644</v>
      </c>
      <c r="K490" s="154" t="s">
        <v>644</v>
      </c>
      <c r="L490" s="141"/>
      <c r="N490" s="141"/>
    </row>
    <row r="491" spans="1:14" ht="12.75">
      <c r="L491" s="141"/>
      <c r="N491" s="141"/>
    </row>
    <row r="492" spans="1:14" ht="12.75">
      <c r="L492" s="141"/>
      <c r="N492" s="141"/>
    </row>
    <row r="493" spans="1:14" ht="12.75">
      <c r="L493" s="141"/>
      <c r="N493" s="141"/>
    </row>
    <row r="494" spans="1:14" ht="12.75">
      <c r="L494" s="141"/>
      <c r="N494" s="141"/>
    </row>
    <row r="495" spans="1:14" ht="12.75">
      <c r="L495" s="141"/>
      <c r="N495" s="141"/>
    </row>
    <row r="496" spans="1:14" ht="12.75">
      <c r="L496" s="141"/>
      <c r="N496" s="141"/>
    </row>
    <row r="497" spans="12:14" ht="12.75">
      <c r="L497" s="141"/>
      <c r="N497" s="141"/>
    </row>
    <row r="498" spans="12:14" ht="12.75">
      <c r="L498" s="141"/>
      <c r="N498" s="141"/>
    </row>
    <row r="499" spans="12:14" ht="12.75">
      <c r="L499" s="141"/>
      <c r="N499" s="141"/>
    </row>
    <row r="500" spans="12:14" ht="12.75">
      <c r="L500" s="141"/>
      <c r="N500" s="141"/>
    </row>
    <row r="501" spans="12:14" ht="12.75">
      <c r="L501" s="141"/>
      <c r="N501" s="141"/>
    </row>
    <row r="502" spans="12:14" ht="12.75">
      <c r="L502" s="141"/>
      <c r="N502" s="141"/>
    </row>
    <row r="503" spans="12:14" ht="12.75">
      <c r="L503" s="141"/>
      <c r="N503" s="141"/>
    </row>
    <row r="504" spans="12:14" ht="12.75">
      <c r="L504" s="141"/>
      <c r="N504" s="141"/>
    </row>
    <row r="505" spans="12:14" ht="12.75">
      <c r="L505" s="141"/>
      <c r="N505" s="141"/>
    </row>
    <row r="506" spans="12:14" ht="12.75">
      <c r="L506" s="141"/>
      <c r="N506" s="141"/>
    </row>
    <row r="507" spans="12:14" ht="12.75">
      <c r="L507" s="141"/>
      <c r="N507" s="141"/>
    </row>
    <row r="508" spans="12:14" ht="12.75">
      <c r="L508" s="141"/>
      <c r="N508" s="141"/>
    </row>
    <row r="509" spans="12:14" ht="12.75">
      <c r="L509" s="141"/>
      <c r="N509" s="141"/>
    </row>
    <row r="510" spans="12:14" ht="12.75">
      <c r="L510" s="141"/>
      <c r="N510" s="141"/>
    </row>
    <row r="511" spans="12:14" ht="12.75">
      <c r="L511" s="141"/>
      <c r="N511" s="141"/>
    </row>
    <row r="512" spans="12:14" ht="12.75">
      <c r="L512" s="141"/>
      <c r="N512" s="141"/>
    </row>
    <row r="513" spans="12:14" ht="12.75">
      <c r="L513" s="141"/>
      <c r="N513" s="141"/>
    </row>
    <row r="514" spans="12:14" ht="12.75">
      <c r="L514" s="141"/>
      <c r="N514" s="141"/>
    </row>
    <row r="515" spans="12:14" ht="12.75">
      <c r="L515" s="141"/>
      <c r="N515" s="141"/>
    </row>
    <row r="516" spans="12:14" ht="12.75">
      <c r="L516" s="141"/>
      <c r="N516" s="141"/>
    </row>
    <row r="517" spans="12:14" ht="12.75">
      <c r="L517" s="141"/>
      <c r="N517" s="141"/>
    </row>
    <row r="518" spans="12:14" ht="12.75">
      <c r="L518" s="141"/>
      <c r="N518" s="141"/>
    </row>
    <row r="519" spans="12:14" ht="12.75">
      <c r="L519" s="141"/>
      <c r="N519" s="141"/>
    </row>
    <row r="520" spans="12:14" ht="12.75">
      <c r="L520" s="141"/>
      <c r="N520" s="141"/>
    </row>
    <row r="521" spans="12:14" ht="12.75">
      <c r="L521" s="141"/>
      <c r="N521" s="141"/>
    </row>
    <row r="522" spans="12:14" ht="12.75">
      <c r="L522" s="141"/>
      <c r="N522" s="141"/>
    </row>
    <row r="523" spans="12:14" ht="12.75">
      <c r="L523" s="141"/>
      <c r="N523" s="141"/>
    </row>
    <row r="524" spans="12:14" ht="12.75">
      <c r="L524" s="141"/>
      <c r="N524" s="141"/>
    </row>
    <row r="525" spans="12:14" ht="12.75">
      <c r="L525" s="141"/>
      <c r="N525" s="141"/>
    </row>
    <row r="526" spans="12:14" ht="12.75">
      <c r="L526" s="141"/>
      <c r="N526" s="141"/>
    </row>
    <row r="527" spans="12:14" ht="12.75">
      <c r="L527" s="141"/>
      <c r="N527" s="141"/>
    </row>
    <row r="528" spans="12:14" ht="12.75">
      <c r="L528" s="141"/>
      <c r="N528" s="141"/>
    </row>
    <row r="529" spans="12:14" ht="12.75">
      <c r="L529" s="141"/>
      <c r="N529" s="141"/>
    </row>
    <row r="530" spans="12:14" ht="12.75">
      <c r="L530" s="141"/>
      <c r="N530" s="141"/>
    </row>
    <row r="531" spans="12:14" ht="12.75">
      <c r="L531" s="141"/>
      <c r="N531" s="141"/>
    </row>
    <row r="532" spans="12:14" ht="12.75">
      <c r="L532" s="141"/>
      <c r="N532" s="141"/>
    </row>
    <row r="533" spans="12:14" ht="12.75">
      <c r="L533" s="141"/>
      <c r="N533" s="141"/>
    </row>
    <row r="534" spans="12:14" ht="12.75">
      <c r="L534" s="141"/>
      <c r="N534" s="141"/>
    </row>
    <row r="535" spans="12:14" ht="12.75">
      <c r="L535" s="141"/>
      <c r="N535" s="141"/>
    </row>
    <row r="536" spans="12:14" ht="12.75">
      <c r="L536" s="141"/>
      <c r="N536" s="141"/>
    </row>
    <row r="537" spans="12:14" ht="12.75">
      <c r="L537" s="141"/>
      <c r="N537" s="141"/>
    </row>
    <row r="538" spans="12:14" ht="12.75">
      <c r="L538" s="141"/>
      <c r="N538" s="141"/>
    </row>
    <row r="539" spans="12:14" ht="12.75">
      <c r="L539" s="141"/>
      <c r="N539" s="141"/>
    </row>
    <row r="540" spans="12:14" ht="12.75">
      <c r="L540" s="141"/>
      <c r="N540" s="141"/>
    </row>
    <row r="541" spans="12:14" ht="12.75">
      <c r="L541" s="141"/>
      <c r="N541" s="141"/>
    </row>
    <row r="542" spans="12:14" ht="12.75">
      <c r="L542" s="141"/>
      <c r="N542" s="141"/>
    </row>
    <row r="543" spans="12:14" ht="12.75">
      <c r="L543" s="141"/>
      <c r="N543" s="141"/>
    </row>
    <row r="544" spans="12:14" ht="12.75">
      <c r="L544" s="141"/>
      <c r="N544" s="141"/>
    </row>
    <row r="545" spans="12:14" ht="12.75">
      <c r="L545" s="141"/>
      <c r="N545" s="141"/>
    </row>
    <row r="546" spans="12:14" ht="12.75">
      <c r="L546" s="141"/>
      <c r="N546" s="141"/>
    </row>
    <row r="547" spans="12:14" ht="12.75">
      <c r="L547" s="141"/>
      <c r="N547" s="141"/>
    </row>
    <row r="548" spans="12:14" ht="12.75">
      <c r="L548" s="141"/>
      <c r="N548" s="141"/>
    </row>
    <row r="549" spans="12:14" ht="12.75">
      <c r="L549" s="141"/>
      <c r="N549" s="141"/>
    </row>
    <row r="550" spans="12:14" ht="12.75">
      <c r="L550" s="141"/>
      <c r="N550" s="141"/>
    </row>
    <row r="551" spans="12:14" ht="12.75">
      <c r="L551" s="141"/>
      <c r="N551" s="141"/>
    </row>
    <row r="552" spans="12:14" ht="12.75">
      <c r="L552" s="141"/>
      <c r="N552" s="141"/>
    </row>
    <row r="553" spans="12:14" ht="12.75">
      <c r="L553" s="141"/>
      <c r="N553" s="141"/>
    </row>
    <row r="554" spans="12:14" ht="12.75">
      <c r="L554" s="141"/>
      <c r="N554" s="141"/>
    </row>
    <row r="555" spans="12:14" ht="12.75">
      <c r="L555" s="141"/>
      <c r="N555" s="141"/>
    </row>
    <row r="556" spans="12:14" ht="12.75">
      <c r="L556" s="141"/>
      <c r="N556" s="141"/>
    </row>
    <row r="557" spans="12:14" ht="12.75">
      <c r="L557" s="141"/>
      <c r="N557" s="141"/>
    </row>
    <row r="558" spans="12:14" ht="12.75">
      <c r="L558" s="141"/>
      <c r="N558" s="141"/>
    </row>
    <row r="559" spans="12:14" ht="12.75">
      <c r="L559" s="141"/>
      <c r="N559" s="141"/>
    </row>
    <row r="560" spans="12:14" ht="12.75">
      <c r="L560" s="141"/>
      <c r="N560" s="141"/>
    </row>
    <row r="561" spans="12:14" ht="12.75">
      <c r="L561" s="141"/>
      <c r="N561" s="141"/>
    </row>
    <row r="562" spans="12:14" ht="12.75">
      <c r="L562" s="141"/>
      <c r="N562" s="141"/>
    </row>
    <row r="563" spans="12:14" ht="12.75">
      <c r="L563" s="141"/>
      <c r="N563" s="141"/>
    </row>
    <row r="564" spans="12:14" ht="12.75">
      <c r="L564" s="141"/>
      <c r="N564" s="141"/>
    </row>
    <row r="565" spans="12:14" ht="12.75">
      <c r="L565" s="141"/>
      <c r="N565" s="141"/>
    </row>
    <row r="566" spans="12:14" ht="12.75">
      <c r="L566" s="141"/>
      <c r="N566" s="141"/>
    </row>
    <row r="567" spans="12:14" ht="12.75">
      <c r="L567" s="141"/>
      <c r="N567" s="141"/>
    </row>
    <row r="568" spans="12:14" ht="12.75">
      <c r="L568" s="141"/>
      <c r="N568" s="141"/>
    </row>
    <row r="569" spans="12:14" ht="12.75">
      <c r="L569" s="141"/>
      <c r="N569" s="141"/>
    </row>
    <row r="570" spans="12:14" ht="12.75">
      <c r="L570" s="141"/>
      <c r="N570" s="141"/>
    </row>
    <row r="571" spans="12:14" ht="12.75">
      <c r="L571" s="141"/>
      <c r="N571" s="141"/>
    </row>
    <row r="572" spans="12:14" ht="12.75">
      <c r="L572" s="141"/>
      <c r="N572" s="141"/>
    </row>
    <row r="573" spans="12:14" ht="12.75">
      <c r="L573" s="141"/>
      <c r="N573" s="141"/>
    </row>
    <row r="574" spans="12:14" ht="12.75">
      <c r="L574" s="141"/>
      <c r="N574" s="141"/>
    </row>
    <row r="575" spans="12:14" ht="12.75">
      <c r="L575" s="141"/>
      <c r="N575" s="141"/>
    </row>
    <row r="576" spans="12:14" ht="12.75">
      <c r="L576" s="141"/>
      <c r="N576" s="141"/>
    </row>
    <row r="577" spans="12:14" ht="12.75">
      <c r="L577" s="141"/>
      <c r="N577" s="141"/>
    </row>
    <row r="578" spans="12:14" ht="12.75">
      <c r="L578" s="141"/>
      <c r="N578" s="141"/>
    </row>
    <row r="579" spans="12:14" ht="12.75">
      <c r="L579" s="141"/>
      <c r="N579" s="141"/>
    </row>
    <row r="580" spans="12:14" ht="12.75">
      <c r="L580" s="141"/>
      <c r="N580" s="141"/>
    </row>
    <row r="581" spans="12:14" ht="12.75">
      <c r="L581" s="141"/>
      <c r="N581" s="141"/>
    </row>
    <row r="582" spans="12:14" ht="12.75">
      <c r="L582" s="141"/>
      <c r="N582" s="141"/>
    </row>
    <row r="583" spans="12:14" ht="12.75">
      <c r="L583" s="141"/>
      <c r="N583" s="141"/>
    </row>
    <row r="584" spans="12:14" ht="12.75">
      <c r="L584" s="141"/>
      <c r="N584" s="141"/>
    </row>
    <row r="585" spans="12:14" ht="12.75">
      <c r="L585" s="141"/>
      <c r="N585" s="141"/>
    </row>
    <row r="586" spans="12:14" ht="12.75">
      <c r="L586" s="141"/>
      <c r="N586" s="141"/>
    </row>
    <row r="587" spans="12:14" ht="12.75">
      <c r="L587" s="141"/>
      <c r="N587" s="141"/>
    </row>
    <row r="588" spans="12:14" ht="12.75">
      <c r="L588" s="141"/>
      <c r="N588" s="141"/>
    </row>
    <row r="589" spans="12:14" ht="12.75">
      <c r="L589" s="141"/>
      <c r="N589" s="141"/>
    </row>
    <row r="590" spans="12:14" ht="12.75">
      <c r="L590" s="141"/>
      <c r="N590" s="141"/>
    </row>
    <row r="591" spans="12:14" ht="12.75">
      <c r="L591" s="141"/>
      <c r="N591" s="141"/>
    </row>
    <row r="592" spans="12:14" ht="12.75">
      <c r="L592" s="141"/>
      <c r="N592" s="141"/>
    </row>
    <row r="593" spans="12:14" ht="12.75">
      <c r="L593" s="141"/>
      <c r="N593" s="141"/>
    </row>
    <row r="594" spans="12:14" ht="12.75">
      <c r="L594" s="141"/>
      <c r="N594" s="141"/>
    </row>
    <row r="595" spans="12:14" ht="12.75">
      <c r="L595" s="141"/>
      <c r="N595" s="141"/>
    </row>
    <row r="596" spans="12:14" ht="12.75">
      <c r="L596" s="141"/>
      <c r="N596" s="141"/>
    </row>
    <row r="597" spans="12:14" ht="12.75">
      <c r="L597" s="141"/>
      <c r="N597" s="141"/>
    </row>
    <row r="598" spans="12:14" ht="12.75">
      <c r="L598" s="141"/>
      <c r="N598" s="141"/>
    </row>
    <row r="599" spans="12:14" ht="12.75">
      <c r="L599" s="141"/>
      <c r="N599" s="141"/>
    </row>
    <row r="600" spans="12:14" ht="12.75">
      <c r="L600" s="141"/>
      <c r="N600" s="141"/>
    </row>
    <row r="601" spans="12:14" ht="12.75">
      <c r="L601" s="141"/>
      <c r="N601" s="141"/>
    </row>
    <row r="602" spans="12:14" ht="12.75">
      <c r="L602" s="141"/>
      <c r="N602" s="141"/>
    </row>
    <row r="603" spans="12:14" ht="12.75">
      <c r="L603" s="141"/>
      <c r="N603" s="141"/>
    </row>
    <row r="604" spans="12:14" ht="12.75">
      <c r="L604" s="141"/>
      <c r="N604" s="141"/>
    </row>
    <row r="605" spans="12:14" ht="12.75">
      <c r="L605" s="141"/>
      <c r="N605" s="141"/>
    </row>
    <row r="606" spans="12:14" ht="12.75">
      <c r="L606" s="141"/>
      <c r="N606" s="141"/>
    </row>
    <row r="607" spans="12:14" ht="12.75">
      <c r="L607" s="141"/>
      <c r="N607" s="141"/>
    </row>
    <row r="608" spans="12:14" ht="12.75">
      <c r="L608" s="141"/>
      <c r="N608" s="141"/>
    </row>
    <row r="609" spans="12:14" ht="12.75">
      <c r="L609" s="141"/>
      <c r="N609" s="141"/>
    </row>
    <row r="610" spans="12:14" ht="12.75">
      <c r="L610" s="141"/>
      <c r="N610" s="141"/>
    </row>
    <row r="611" spans="12:14" ht="12.75">
      <c r="L611" s="141"/>
      <c r="N611" s="141"/>
    </row>
    <row r="612" spans="12:14" ht="12.75">
      <c r="L612" s="141"/>
      <c r="N612" s="141"/>
    </row>
    <row r="613" spans="12:14" ht="12.75">
      <c r="L613" s="141"/>
      <c r="N613" s="141"/>
    </row>
    <row r="614" spans="12:14" ht="12.75">
      <c r="L614" s="141"/>
      <c r="N614" s="141"/>
    </row>
    <row r="615" spans="12:14" ht="12.75">
      <c r="L615" s="141"/>
      <c r="N615" s="141"/>
    </row>
    <row r="616" spans="12:14" ht="12.75">
      <c r="L616" s="141"/>
      <c r="N616" s="141"/>
    </row>
    <row r="617" spans="12:14" ht="12.75">
      <c r="L617" s="141"/>
      <c r="N617" s="141"/>
    </row>
    <row r="618" spans="12:14" ht="12.75">
      <c r="L618" s="141"/>
      <c r="N618" s="141"/>
    </row>
    <row r="619" spans="12:14" ht="12.75">
      <c r="L619" s="141"/>
      <c r="N619" s="141"/>
    </row>
    <row r="620" spans="12:14" ht="12.75">
      <c r="L620" s="141"/>
      <c r="N620" s="141"/>
    </row>
    <row r="621" spans="12:14" ht="12.75">
      <c r="L621" s="141"/>
      <c r="N621" s="141"/>
    </row>
    <row r="622" spans="12:14" ht="12.75">
      <c r="L622" s="141"/>
      <c r="N622" s="141"/>
    </row>
    <row r="623" spans="12:14" ht="12.75">
      <c r="L623" s="141"/>
      <c r="N623" s="141"/>
    </row>
    <row r="624" spans="12:14" ht="12.75">
      <c r="L624" s="141"/>
      <c r="N624" s="141"/>
    </row>
    <row r="625" spans="10:15" ht="12.75">
      <c r="L625" s="141"/>
      <c r="N625" s="141"/>
    </row>
    <row r="626" spans="10:15" ht="12.75">
      <c r="L626" s="141"/>
      <c r="N626" s="141"/>
    </row>
    <row r="627" spans="10:15" ht="12.75">
      <c r="L627" s="141"/>
      <c r="N627" s="141"/>
    </row>
    <row r="628" spans="10:15" ht="12.75">
      <c r="L628" s="141"/>
      <c r="N628" s="141"/>
    </row>
    <row r="629" spans="10:15" ht="12.75">
      <c r="L629" s="141"/>
      <c r="N629" s="141"/>
    </row>
    <row r="630" spans="10:15" ht="12.75">
      <c r="L630" s="141"/>
      <c r="N630" s="141"/>
    </row>
    <row r="631" spans="10:15" ht="12.75">
      <c r="L631" s="141"/>
      <c r="N631" s="141"/>
    </row>
    <row r="632" spans="10:15" ht="12.75">
      <c r="L632" s="141"/>
      <c r="N632" s="141"/>
    </row>
    <row r="633" spans="10:15" ht="12.75">
      <c r="L633" s="141"/>
      <c r="N633" s="141"/>
    </row>
    <row r="634" spans="10:15" ht="12.75">
      <c r="L634" s="141"/>
      <c r="N634" s="141"/>
    </row>
    <row r="635" spans="10:15" ht="12.75">
      <c r="L635" s="141"/>
    </row>
    <row r="636" spans="10:15" ht="12.75">
      <c r="J636" s="154" t="s">
        <v>644</v>
      </c>
      <c r="L636" s="141"/>
      <c r="M636" s="154" t="s">
        <v>644</v>
      </c>
      <c r="N636" s="157" t="s">
        <v>644</v>
      </c>
      <c r="O636" s="154" t="s">
        <v>644</v>
      </c>
    </row>
  </sheetData>
  <dataValidations count="1">
    <dataValidation type="list" allowBlank="1" showInputMessage="1" showErrorMessage="1" sqref="K103:K132 K378:K381 K287 K285 K190:K197 K316 K479:K483 K466:K473 K375:K376 K178:K184 K436:K449 K134 K318:K360 K136:K174 K59:K63 K292 K464 K31:K49 K51">
      <formula1>$D$3:$D$42</formula1>
    </dataValidation>
  </dataValidations>
  <pageMargins left="0.7" right="0.7" top="0.75" bottom="0.75" header="0.3" footer="0.3"/>
  <pageSetup paperSize="9" orientation="portrait" horizontalDpi="0" verticalDpi="0"/>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34F25D47-6570-194F-9350-7F9E7C3D0D41}">
          <x14:formula1>
            <xm:f>'/C:/Local/!Profiles/Klyuchnik/Desktop/OLD/[GF_Tavria_V0612.xlsx]Scheme'!#REF!</xm:f>
          </x14:formula1>
          <xm:sqref>K4 K6:K30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13</vt:i4>
      </vt:variant>
      <vt:variant>
        <vt:lpstr>Именованные диапазоны</vt:lpstr>
      </vt:variant>
      <vt:variant>
        <vt:i4>1</vt:i4>
      </vt:variant>
    </vt:vector>
  </HeadingPairs>
  <TitlesOfParts>
    <vt:vector size="14" baseType="lpstr">
      <vt:lpstr>FS USD (ua)</vt:lpstr>
      <vt:lpstr>ОСВ в работу</vt:lpstr>
      <vt:lpstr>ОСВ 2020</vt:lpstr>
      <vt:lpstr>отлож налоги </vt:lpstr>
      <vt:lpstr>Сводная ОА</vt:lpstr>
      <vt:lpstr>Опер ар_Сервис элит</vt:lpstr>
      <vt:lpstr>ОА Романовская</vt:lpstr>
      <vt:lpstr>ОА Голден клаб</vt:lpstr>
      <vt:lpstr>ОА Южмедбиосинтез</vt:lpstr>
      <vt:lpstr>ОА Лытюк</vt:lpstr>
      <vt:lpstr>OA Стецко</vt:lpstr>
      <vt:lpstr>Балабан</vt:lpstr>
      <vt:lpstr>АСС</vt:lpstr>
      <vt:lpstr>'FS USD (ua)'!Область_печати</vt:lpstr>
    </vt:vector>
  </TitlesOfParts>
  <Company>Grizli777</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2021-04-08T08:26:01Z</cp:lastPrinted>
  <dcterms:created xsi:type="dcterms:W3CDTF">2015-04-14T11:44:46Z</dcterms:created>
  <dcterms:modified xsi:type="dcterms:W3CDTF">2021-04-13T08:03:15Z</dcterms:modified>
</cp:coreProperties>
</file>